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codeName="ThisWorkbook" defaultThemeVersion="124226"/>
  <xr:revisionPtr revIDLastSave="0" documentId="8_{5ADD63C6-70D1-4D9A-8AC2-8287B22BB774}" xr6:coauthVersionLast="47" xr6:coauthVersionMax="47" xr10:uidLastSave="{00000000-0000-0000-0000-000000000000}"/>
  <bookViews>
    <workbookView xWindow="-120" yWindow="-120" windowWidth="29040" windowHeight="15840" xr2:uid="{E068F74D-BD60-4895-977E-E4832850647E}"/>
  </bookViews>
  <sheets>
    <sheet name="Index" sheetId="31" r:id="rId1"/>
    <sheet name="Appendix III" sheetId="3" r:id="rId2"/>
    <sheet name="1 - Revenue Credits" sheetId="5" r:id="rId3"/>
    <sheet name="2 - Cost Support " sheetId="9" r:id="rId4"/>
    <sheet name="2a - Cost Support" sheetId="29" r:id="rId5"/>
    <sheet name="2b - Cost Support" sheetId="38" r:id="rId6"/>
    <sheet name="3 - Incentives" sheetId="25" r:id="rId7"/>
    <sheet name="4 - Cap Adds" sheetId="27" r:id="rId8"/>
    <sheet name="5-Construction Loan" sheetId="32" r:id="rId9"/>
    <sheet name="6a- ADIT" sheetId="23" r:id="rId10"/>
    <sheet name="6b- ADIT" sheetId="22" r:id="rId11"/>
    <sheet name="8 - Const Loan True-up" sheetId="30" r:id="rId12"/>
    <sheet name="7 - True-Up" sheetId="17" r:id="rId13"/>
    <sheet name="9- Depreciation Rates" sheetId="20" r:id="rId14"/>
    <sheet name="10 Lease O&amp;M, Other Tax and 413" sheetId="40" r:id="rId15"/>
    <sheet name="11 - Reg. Assets and Abnd Plnt" sheetId="45" r:id="rId16"/>
    <sheet name="12 - Unfunded Reserves" sheetId="46" r:id="rId17"/>
    <sheet name="13 - CWIP" sheetId="47" r:id="rId18"/>
    <sheet name="14 - Future Use" sheetId="48" r:id="rId19"/>
    <sheet name="WP1 - O&amp;M detail" sheetId="41" r:id="rId20"/>
    <sheet name="WP2 - A&amp;G detail" sheetId="42" r:id="rId21"/>
    <sheet name="WP3 - Cap Ex" sheetId="43" r:id="rId22"/>
    <sheet name="WP4 - Affiliate Allocations" sheetId="44"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dat1111" localSheetId="14">[1]Sheet1!$G$2:$G$29</definedName>
    <definedName name="_____dat1111">[1]Sheet1!$G$2:$G$29</definedName>
    <definedName name="____dat1111" localSheetId="14">[1]Sheet1!$G$2:$G$29</definedName>
    <definedName name="____dat1111">[1]Sheet1!$G$2:$G$29</definedName>
    <definedName name="___dat1111" localSheetId="14">[1]Sheet1!$G$2:$G$29</definedName>
    <definedName name="___dat1111">[1]Sheet1!$G$2:$G$29</definedName>
    <definedName name="__dat1111" localSheetId="14">[1]Sheet1!$G$2:$G$29</definedName>
    <definedName name="__dat1111">[1]Sheet1!$G$2:$G$29</definedName>
    <definedName name="_dat1111" localSheetId="14">[1]Sheet1!$G$2:$G$29</definedName>
    <definedName name="_dat1111">[1]Sheet1!$G$2:$G$29</definedName>
    <definedName name="_Fill" localSheetId="14" hidden="1">#REF!</definedName>
    <definedName name="_Fill" hidden="1">#REF!</definedName>
    <definedName name="_ftn1" localSheetId="1">'Appendix III'!$D$8</definedName>
    <definedName name="_ftnref1" localSheetId="1">'Appendix III'!$D$5</definedName>
    <definedName name="aaa" localSheetId="14" hidden="1">{#N/A,#N/A,FALSE,"O&amp;M by processes";#N/A,#N/A,FALSE,"Elec Act vs Bud";#N/A,#N/A,FALSE,"G&amp;A";#N/A,#N/A,FALSE,"BGS";#N/A,#N/A,FALSE,"Res Cost"}</definedName>
    <definedName name="aaa" localSheetId="22"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22"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 localSheetId="14">'[2]AC 255'!$A$1:$M$32</definedName>
    <definedName name="AC_255">'[2]AC 255'!$A$1:$M$32</definedName>
    <definedName name="Actual" localSheetId="14">[3]Assumptions!$E$52</definedName>
    <definedName name="Actual">[3]Assumptions!$E$52</definedName>
    <definedName name="AllASS">[4]ALL!$B$25</definedName>
    <definedName name="ALLCGI">[4]ALL!$D$25</definedName>
    <definedName name="ALLRD">[4]ALL!$C$25</definedName>
    <definedName name="ALLSKP">[4]ALL!$E$25</definedName>
    <definedName name="anscount" hidden="1">1</definedName>
    <definedName name="AS2DocOpenMode" hidden="1">"AS2DocumentEdit"</definedName>
    <definedName name="BALANCE" localSheetId="14">'[5]MTHLY BAL.'!$A$6:$O$89</definedName>
    <definedName name="BALANCE">'[5]MTHLY BAL.'!$A$6:$O$89</definedName>
    <definedName name="Basis_Points" localSheetId="14">[3]Assumptions!$H$15</definedName>
    <definedName name="Basis_Points">[3]Assumptions!$H$15</definedName>
    <definedName name="bbb" localSheetId="14" hidden="1">{#N/A,#N/A,FALSE,"O&amp;M by processes";#N/A,#N/A,FALSE,"Elec Act vs Bud";#N/A,#N/A,FALSE,"G&amp;A";#N/A,#N/A,FALSE,"BGS";#N/A,#N/A,FALSE,"Res Cost"}</definedName>
    <definedName name="bbb" localSheetId="22"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22"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22"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22" hidden="1">{#N/A,#N/A,FALSE,"O&amp;M by processes";#N/A,#N/A,FALSE,"Elec Act vs Bud";#N/A,#N/A,FALSE,"G&amp;A";#N/A,#N/A,FALSE,"BGS";#N/A,#N/A,FALSE,"Res Cost"}</definedName>
    <definedName name="bbc" hidden="1">{#N/A,#N/A,FALSE,"O&amp;M by processes";#N/A,#N/A,FALSE,"Elec Act vs Bud";#N/A,#N/A,FALSE,"G&amp;A";#N/A,#N/A,FALSE,"BGS";#N/A,#N/A,FALSE,"Res Cost"}</definedName>
    <definedName name="beg_CWIP" localSheetId="14">'[6]Input Page'!$E$14</definedName>
    <definedName name="beg_CWIP">'[6]Input Page'!$E$14</definedName>
    <definedName name="BGS_Cost_Scenario" localSheetId="14">[3]Assumptions!$E$33</definedName>
    <definedName name="BGS_Cost_Scenario">[3]Assumptions!$E$33</definedName>
    <definedName name="BGS_RFP" localSheetId="14">[3]Assumptions!$E$36</definedName>
    <definedName name="BGS_RFP">[3]Assumptions!$E$36</definedName>
    <definedName name="BLE_Close_Date" localSheetId="14">[7]Assumptions!$E$28</definedName>
    <definedName name="BLE_Close_Date">[7]Assumptions!$E$28</definedName>
    <definedName name="can" localSheetId="14" hidden="1">{#N/A,#N/A,FALSE,"O&amp;M by processes";#N/A,#N/A,FALSE,"Elec Act vs Bud";#N/A,#N/A,FALSE,"G&amp;A";#N/A,#N/A,FALSE,"BGS";#N/A,#N/A,FALSE,"Res Cost"}</definedName>
    <definedName name="can" localSheetId="22" hidden="1">{#N/A,#N/A,FALSE,"O&amp;M by processes";#N/A,#N/A,FALSE,"Elec Act vs Bud";#N/A,#N/A,FALSE,"G&amp;A";#N/A,#N/A,FALSE,"BGS";#N/A,#N/A,FALSE,"Res Cost"}</definedName>
    <definedName name="can" hidden="1">{#N/A,#N/A,FALSE,"O&amp;M by processes";#N/A,#N/A,FALSE,"Elec Act vs Bud";#N/A,#N/A,FALSE,"G&amp;A";#N/A,#N/A,FALSE,"BGS";#N/A,#N/A,FALSE,"Res Cost"}</definedName>
    <definedName name="cap_interest" localSheetId="14">'[6]Input Page'!$E$12</definedName>
    <definedName name="cap_interest">'[6]Input Page'!$E$12</definedName>
    <definedName name="ccc" localSheetId="14" hidden="1">{#N/A,#N/A,FALSE,"O&amp;M by processes";#N/A,#N/A,FALSE,"Elec Act vs Bud";#N/A,#N/A,FALSE,"G&amp;A";#N/A,#N/A,FALSE,"BGS";#N/A,#N/A,FALSE,"Res Cost"}</definedName>
    <definedName name="ccc" localSheetId="22"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22"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 localSheetId="14">'[7]JFJ-4 CEP Rate'!$A$28:$F$78</definedName>
    <definedName name="CEP_Amortization">'[7]JFJ-4 CEP Rate'!$A$28:$F$78</definedName>
    <definedName name="COGEN" localSheetId="14">'[8]October Tariff kwh'!$A$1:$H$83</definedName>
    <definedName name="COGEN">'[8]October Tariff kwh'!$A$1:$H$83</definedName>
    <definedName name="compInc">[9]Inputs!$B$4</definedName>
    <definedName name="Consolid" localSheetId="14" hidden="1">{#N/A,#N/A,FALSE,"O&amp;M by processes";#N/A,#N/A,FALSE,"Elec Act vs Bud";#N/A,#N/A,FALSE,"G&amp;A";#N/A,#N/A,FALSE,"BGS";#N/A,#N/A,FALSE,"Res Cost"}</definedName>
    <definedName name="Consolid" localSheetId="22"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22"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 localSheetId="14">'[6]Input Page'!$E$7</definedName>
    <definedName name="cost_of_good_sold">'[6]Input Page'!$E$7</definedName>
    <definedName name="cost2001" localSheetId="14">[10]Input!$M$23</definedName>
    <definedName name="cost2001">[10]Input!$M$23</definedName>
    <definedName name="CUT" localSheetId="14">[11]AFUDC_CCRF!$A$1:$N$303</definedName>
    <definedName name="CUT">[11]AFUDC_CCRF!$A$1:$N$303</definedName>
    <definedName name="CUTINS" localSheetId="14">[11]AFUDC_CCRF!$A$73:$N$160</definedName>
    <definedName name="CUTINS">[11]AFUDC_CCRF!$A$73:$N$160</definedName>
    <definedName name="da" localSheetId="14" hidden="1">{#N/A,#N/A,FALSE,"O&amp;M by processes";#N/A,#N/A,FALSE,"Elec Act vs Bud";#N/A,#N/A,FALSE,"G&amp;A";#N/A,#N/A,FALSE,"BGS";#N/A,#N/A,FALSE,"Res Cost"}</definedName>
    <definedName name="da" localSheetId="22"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22" hidden="1">{#N/A,#N/A,FALSE,"O&amp;M by processes";#N/A,#N/A,FALSE,"Elec Act vs Bud";#N/A,#N/A,FALSE,"G&amp;A";#N/A,#N/A,FALSE,"BGS";#N/A,#N/A,FALSE,"Res Cost"}</definedName>
    <definedName name="dada" hidden="1">{#N/A,#N/A,FALSE,"O&amp;M by processes";#N/A,#N/A,FALSE,"Elec Act vs Bud";#N/A,#N/A,FALSE,"G&amp;A";#N/A,#N/A,FALSE,"BGS";#N/A,#N/A,FALSE,"Res Cost"}</definedName>
    <definedName name="dae" localSheetId="14">[1]Sheet1!$B$2:$B$29</definedName>
    <definedName name="dae">[1]Sheet1!$B$2:$B$29</definedName>
    <definedName name="data_3">[12]Permanent!$A$9:$O$20</definedName>
    <definedName name="Deferral_Interest_Rate" localSheetId="14">[3]Assumptions!$H$14</definedName>
    <definedName name="Deferral_Interest_Rate">[3]Assumptions!$H$14</definedName>
    <definedName name="Deferral_Recovery" localSheetId="14">'[7]JFJ-1 Deferral Recovery Rate'!$A$14:$F$64</definedName>
    <definedName name="Deferral_Recovery">'[7]JFJ-1 Deferral Recovery Rate'!$A$14:$F$64</definedName>
    <definedName name="DefTax" localSheetId="14">[13]Lists!$A$2:$A$4</definedName>
    <definedName name="DefTax">[13]Lists!$A$2:$A$4</definedName>
    <definedName name="delete" localSheetId="14" hidden="1">{#N/A,#N/A,FALSE,"CURRENT"}</definedName>
    <definedName name="delete" localSheetId="22" hidden="1">{#N/A,#N/A,FALSE,"CURRENT"}</definedName>
    <definedName name="delete" hidden="1">{#N/A,#N/A,FALSE,"CURRENT"}</definedName>
    <definedName name="eeee" localSheetId="14" hidden="1">{#N/A,#N/A,FALSE,"O&amp;M by processes";#N/A,#N/A,FALSE,"Elec Act vs Bud";#N/A,#N/A,FALSE,"G&amp;A";#N/A,#N/A,FALSE,"BGS";#N/A,#N/A,FALSE,"Res Cost"}</definedName>
    <definedName name="eeee" localSheetId="22" hidden="1">{#N/A,#N/A,FALSE,"O&amp;M by processes";#N/A,#N/A,FALSE,"Elec Act vs Bud";#N/A,#N/A,FALSE,"G&amp;A";#N/A,#N/A,FALSE,"BGS";#N/A,#N/A,FALSE,"Res Cost"}</definedName>
    <definedName name="eeee" hidden="1">{#N/A,#N/A,FALSE,"O&amp;M by processes";#N/A,#N/A,FALSE,"Elec Act vs Bud";#N/A,#N/A,FALSE,"G&amp;A";#N/A,#N/A,FALSE,"BGS";#N/A,#N/A,FALSE,"Res Cost"}</definedName>
    <definedName name="EROA">[9]Inputs!$B$3</definedName>
    <definedName name="EV__LASTREFTIME__" hidden="1">39826.8319444444</definedName>
    <definedName name="fed_inc_tax" localSheetId="14">'[6]Input Page'!$E$9</definedName>
    <definedName name="fed_inc_tax">'[6]Input Page'!$E$9</definedName>
    <definedName name="Fossil_BGS" localSheetId="14">[7]Assumptions!$E$58</definedName>
    <definedName name="Fossil_BGS">[7]Assumptions!$E$58</definedName>
    <definedName name="Fossil_Secur_Date" localSheetId="14">[3]Assumptions!$E$22</definedName>
    <definedName name="Fossil_Secur_Date">[3]Assumptions!$E$22</definedName>
    <definedName name="GenLedger" localSheetId="14">[14]PEPCO!$A$9:$H$774</definedName>
    <definedName name="GenLedger">[14]PEPCO!$A$9:$H$774</definedName>
    <definedName name="gita" localSheetId="14" hidden="1">{#N/A,#N/A,FALSE,"O&amp;M by processes";#N/A,#N/A,FALSE,"Elec Act vs Bud";#N/A,#N/A,FALSE,"G&amp;A";#N/A,#N/A,FALSE,"BGS";#N/A,#N/A,FALSE,"Res Cost"}</definedName>
    <definedName name="gita" localSheetId="22"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22"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 localSheetId="14">[15]criteria!$A$5:$B$6</definedName>
    <definedName name="intang_afudc910">[15]criteria!$A$5:$B$6</definedName>
    <definedName name="INTQ" localSheetId="14">'[16]IR COMP'!$B$39</definedName>
    <definedName name="INTQ">'[16]IR COMP'!$B$39</definedName>
    <definedName name="INTY" localSheetId="14">'[16]IR COMP'!$C$39</definedName>
    <definedName name="INTY">'[16]IR COMP'!$C$39</definedName>
    <definedName name="KeyCon_Close_Date" localSheetId="14">[7]Assumptions!$E$29</definedName>
    <definedName name="KeyCon_Close_Date">[7]Assumptions!$E$29</definedName>
    <definedName name="l" localSheetId="14">[17]Lists!$A$2:$A$4</definedName>
    <definedName name="l">[17]Lists!$A$2:$A$4</definedName>
    <definedName name="Labor" localSheetId="14">'[18]Labor ratio'!$A$2:$K$14</definedName>
    <definedName name="Labor">'[18]Labor ratio'!$A$2:$K$14</definedName>
    <definedName name="limcount" hidden="1">1</definedName>
    <definedName name="million">1000000</definedName>
    <definedName name="month" localSheetId="14">[19]RPT80MAR!$A$1:$D$77</definedName>
    <definedName name="month">[19]RPT80MAR!$A$1:$D$77</definedName>
    <definedName name="months">[12]Permanent!$A$24:$A$35</definedName>
    <definedName name="MTC_Amortization" localSheetId="14">'[7]JFJ-3 MTC Rate'!$A$32:$F$82</definedName>
    <definedName name="MTC_Amortization">'[7]JFJ-3 MTC Rate'!$A$32:$F$82</definedName>
    <definedName name="new" localSheetId="22" hidden="1">{#N/A,#N/A,FALSE,"O&amp;M by processes";#N/A,#N/A,FALSE,"Elec Act vs Bud";#N/A,#N/A,FALSE,"G&amp;A";#N/A,#N/A,FALSE,"BGS";#N/A,#N/A,FALSE,"Res Cost"}</definedName>
    <definedName name="non_cap_int" localSheetId="14">'[6]Input Page'!$E$11</definedName>
    <definedName name="non_cap_int">'[6]Input Page'!$E$11</definedName>
    <definedName name="Nuclear_Secur_Date" localSheetId="14">[3]Assumptions!$E$21</definedName>
    <definedName name="Nuclear_Secur_Date">[3]Assumptions!$E$21</definedName>
    <definedName name="one">1</definedName>
    <definedName name="pctHW" localSheetId="14">[10]Input!$M$24</definedName>
    <definedName name="pctHW">[10]Input!$M$24</definedName>
    <definedName name="pctSWExp" localSheetId="14">[10]Input!$M$26</definedName>
    <definedName name="pctSWExp">[10]Input!$M$26</definedName>
    <definedName name="pctTraining" localSheetId="14">[10]Input!$M$25</definedName>
    <definedName name="pctTraining">[10]Input!$M$25</definedName>
    <definedName name="post_fossil" localSheetId="14">[7]Assumptions!$E$59</definedName>
    <definedName name="post_fossil">[7]Assumptions!$E$59</definedName>
    <definedName name="PPA" localSheetId="14">[3]Assumptions!$E$38</definedName>
    <definedName name="PPA">[3]Assumptions!$E$38</definedName>
    <definedName name="PreTaxDebt" localSheetId="14">'[7]MTC Return'!$F$18</definedName>
    <definedName name="PreTaxDebt">'[7]MTC Return'!$F$18</definedName>
    <definedName name="_xlnm.Print_Area" localSheetId="2">'1 - Revenue Credits'!$A$1:$F$46</definedName>
    <definedName name="_xlnm.Print_Area" localSheetId="14">'10 Lease O&amp;M, Other Tax and 413'!$A$1:$G$66</definedName>
    <definedName name="_xlnm.Print_Area" localSheetId="3">'2 - Cost Support '!$A$1:$F$108</definedName>
    <definedName name="_xlnm.Print_Area" localSheetId="4">'2a - Cost Support'!$A$1:$M$185</definedName>
    <definedName name="_xlnm.Print_Area" localSheetId="6">'3 - Incentives'!$A$1:$J$48</definedName>
    <definedName name="_xlnm.Print_Area" localSheetId="7">'4 - Cap Adds'!$A$1:$K$43</definedName>
    <definedName name="_xlnm.Print_Area" localSheetId="8">'5-Construction Loan'!$A$1:$K$111</definedName>
    <definedName name="_xlnm.Print_Area" localSheetId="9">'6a- ADIT'!$A$1:$H$102</definedName>
    <definedName name="_xlnm.Print_Area" localSheetId="10">'6b- ADIT'!$A$1:$H$102</definedName>
    <definedName name="_xlnm.Print_Area" localSheetId="12">'7 - True-Up'!$A$1:$L$60</definedName>
    <definedName name="_xlnm.Print_Area" localSheetId="11">'8 - Const Loan True-up'!$A$1:$P$165</definedName>
    <definedName name="_xlnm.Print_Area" localSheetId="13">'9- Depreciation Rates'!$A$1:$F$48</definedName>
    <definedName name="_xlnm.Print_Area" localSheetId="1">'Appendix III'!$A$1:$M$276</definedName>
    <definedName name="_xlnm.Print_Area" localSheetId="19">'WP1 - O&amp;M detail'!$A$1:$L$69</definedName>
    <definedName name="_xlnm.Print_Titles" localSheetId="15">'11 - Reg. Assets and Abnd Plnt'!$A:$A</definedName>
    <definedName name="_xlnm.Print_Titles" localSheetId="16">'12 - Unfunded Reserves'!$A:$A</definedName>
    <definedName name="_xlnm.Print_Titles" localSheetId="17">'13 - CWIP'!$A:$A</definedName>
    <definedName name="_xlnm.Print_Titles" localSheetId="18">'14 - Future Use'!$A:$A</definedName>
    <definedName name="Print_Titles_MI">'[20]DACTIVE$'!$A$1:$IV$4,'[20]DACTIVE$'!$A$1:$A$65536</definedName>
    <definedName name="PrintareaDec">'[21]kWh-Mcf'!$E$97,'[21]kWh-Mcf'!$A$81:$E$118,'[21]kWh-Mcf'!$AM$86:$AO$118</definedName>
    <definedName name="query">'[22]Boston Edison'!$A$1:$M$3434</definedName>
    <definedName name="rrrr" localSheetId="14" hidden="1">{#N/A,#N/A,FALSE,"O&amp;M by processes";#N/A,#N/A,FALSE,"Elec Act vs Bud";#N/A,#N/A,FALSE,"G&amp;A";#N/A,#N/A,FALSE,"BGS";#N/A,#N/A,FALSE,"Res Cost"}</definedName>
    <definedName name="rrrr" localSheetId="22" hidden="1">{#N/A,#N/A,FALSE,"O&amp;M by processes";#N/A,#N/A,FALSE,"Elec Act vs Bud";#N/A,#N/A,FALSE,"G&amp;A";#N/A,#N/A,FALSE,"BGS";#N/A,#N/A,FALSE,"Res Cost"}</definedName>
    <definedName name="rrrr"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22"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8" hidden="1">'5-Construction Loan'!$D$53</definedName>
    <definedName name="solver_cvg" localSheetId="8" hidden="1">0.0001</definedName>
    <definedName name="solver_drv" localSheetId="8" hidden="1">1</definedName>
    <definedName name="solver_eng" localSheetId="8" hidden="1">1</definedName>
    <definedName name="solver_est" localSheetId="8" hidden="1">1</definedName>
    <definedName name="solver_itr" localSheetId="8" hidden="1">2147483647</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8" hidden="1">1</definedName>
    <definedName name="solver_nod" localSheetId="8" hidden="1">2147483647</definedName>
    <definedName name="solver_num" localSheetId="8" hidden="1">0</definedName>
    <definedName name="solver_nwt" localSheetId="8" hidden="1">1</definedName>
    <definedName name="solver_opt" localSheetId="8" hidden="1">'5-Construction Loan'!$F$15</definedName>
    <definedName name="solver_pre" localSheetId="8" hidden="1">0.000001</definedName>
    <definedName name="solver_rbv" localSheetId="8" hidden="1">1</definedName>
    <definedName name="solver_rlx" localSheetId="8" hidden="1">2</definedName>
    <definedName name="solver_rsd" localSheetId="8" hidden="1">0</definedName>
    <definedName name="solver_scl" localSheetId="8" hidden="1">1</definedName>
    <definedName name="solver_sho" localSheetId="8" hidden="1">2</definedName>
    <definedName name="solver_ssz" localSheetId="8" hidden="1">100</definedName>
    <definedName name="solver_tim" localSheetId="8" hidden="1">2147483647</definedName>
    <definedName name="solver_tol" localSheetId="8" hidden="1">0.01</definedName>
    <definedName name="solver_typ" localSheetId="8" hidden="1">3</definedName>
    <definedName name="solver_val" localSheetId="8" hidden="1">200000000</definedName>
    <definedName name="solver_ver" localSheetId="8" hidden="1">3</definedName>
    <definedName name="State" localSheetId="14">'[23]State List'!$A$2:$A$53</definedName>
    <definedName name="State">'[23]State List'!$A$2:$A$53</definedName>
    <definedName name="statsrevised" localSheetId="14" hidden="1">{#N/A,#N/A,FALSE,"O&amp;M by processes";#N/A,#N/A,FALSE,"Elec Act vs Bud";#N/A,#N/A,FALSE,"G&amp;A";#N/A,#N/A,FALSE,"BGS";#N/A,#N/A,FALSE,"Res Cost"}</definedName>
    <definedName name="statsrevised" localSheetId="22"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 localSheetId="14">'[24]Addt''l 1040 Exclusions'!$A$5:$U$44</definedName>
    <definedName name="STILL1040">'[24]Addt''l 1040 Exclusions'!$A$5:$U$44</definedName>
    <definedName name="support" localSheetId="14" hidden="1">{#N/A,#N/A,FALSE,"O&amp;M by processes";#N/A,#N/A,FALSE,"Elec Act vs Bud";#N/A,#N/A,FALSE,"G&amp;A";#N/A,#N/A,FALSE,"BGS";#N/A,#N/A,FALSE,"Res Cost"}</definedName>
    <definedName name="support" localSheetId="22"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22" hidden="1">{#N/A,#N/A,FALSE,"O&amp;M by processes";#N/A,#N/A,FALSE,"Elec Act vs Bud";#N/A,#N/A,FALSE,"G&amp;A";#N/A,#N/A,FALSE,"BGS";#N/A,#N/A,FALSE,"Res Cost"}</definedName>
    <definedName name="supporti" hidden="1">{#N/A,#N/A,FALSE,"O&amp;M by processes";#N/A,#N/A,FALSE,"Elec Act vs Bud";#N/A,#N/A,FALSE,"G&amp;A";#N/A,#N/A,FALSE,"BGS";#N/A,#N/A,FALSE,"Res Cost"}</definedName>
    <definedName name="Swap_Amort" localSheetId="14">'[7]Keystone Swap Amort Sched'!$A$1:$F$241</definedName>
    <definedName name="Swap_Amort">'[7]Keystone Swap Amort Sched'!$A$1:$F$241</definedName>
    <definedName name="Tacx_Factor" localSheetId="14">[7]Assumptions!$E$52</definedName>
    <definedName name="Tacx_Factor">[7]Assumptions!$E$52</definedName>
    <definedName name="tax_base_on_inc" localSheetId="14">'[6]Input Page'!$E$10</definedName>
    <definedName name="tax_base_on_inc">'[6]Input Page'!$E$10</definedName>
    <definedName name="tax_basis" localSheetId="14">'[6]Input Page'!$E$13</definedName>
    <definedName name="tax_basis">'[6]Input Page'!$E$13</definedName>
    <definedName name="thousand">1000</definedName>
    <definedName name="toma" localSheetId="14" hidden="1">{#N/A,#N/A,FALSE,"O&amp;M by processes";#N/A,#N/A,FALSE,"Elec Act vs Bud";#N/A,#N/A,FALSE,"G&amp;A";#N/A,#N/A,FALSE,"BGS";#N/A,#N/A,FALSE,"Res Cost"}</definedName>
    <definedName name="toma" localSheetId="22"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22"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22"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22"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22"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22"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22" hidden="1">{#N/A,#N/A,FALSE,"O&amp;M by processes";#N/A,#N/A,FALSE,"Elec Act vs Bud";#N/A,#N/A,FALSE,"G&amp;A";#N/A,#N/A,FALSE,"BGS";#N/A,#N/A,FALSE,"Res Cost"}</definedName>
    <definedName name="tomz" hidden="1">{#N/A,#N/A,FALSE,"O&amp;M by processes";#N/A,#N/A,FALSE,"Elec Act vs Bud";#N/A,#N/A,FALSE,"G&amp;A";#N/A,#N/A,FALSE,"BGS";#N/A,#N/A,FALSE,"Res Cost"}</definedName>
    <definedName name="tot_ded" localSheetId="14">'[6]Input Page'!$E$8</definedName>
    <definedName name="tot_ded">'[6]Input Page'!$E$8</definedName>
    <definedName name="valDate">[9]Inputs!$B$1</definedName>
    <definedName name="WCCGCR2">[25]Rates!$B$96:$C$190</definedName>
    <definedName name="wh" localSheetId="14" hidden="1">{#N/A,#N/A,FALSE,"O&amp;M by processes";#N/A,#N/A,FALSE,"Elec Act vs Bud";#N/A,#N/A,FALSE,"G&amp;A";#N/A,#N/A,FALSE,"BGS";#N/A,#N/A,FALSE,"Res Cost"}</definedName>
    <definedName name="wh" localSheetId="22"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22"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22"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22"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22"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22"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22" hidden="1">{#N/A,#N/A,FALSE,"O&amp;M by processes";#N/A,#N/A,FALSE,"Elec Act vs Bud";#N/A,#N/A,FALSE,"G&amp;A";#N/A,#N/A,FALSE,"BGS";#N/A,#N/A,FALSE,"Res Cost"}</definedName>
    <definedName name="why" hidden="1">{#N/A,#N/A,FALSE,"O&amp;M by processes";#N/A,#N/A,FALSE,"Elec Act vs Bud";#N/A,#N/A,FALSE,"G&amp;A";#N/A,#N/A,FALSE,"BGS";#N/A,#N/A,FALSE,"Res Cost"}</definedName>
    <definedName name="WO_Description" localSheetId="14">'[26]WO Info'!$A$1:$F$17972</definedName>
    <definedName name="WO_Description">'[26]WO Info'!$A$1:$F$17972</definedName>
    <definedName name="wrn" localSheetId="14" hidden="1">{#N/A,#N/A,FALSE,"O&amp;M by processes";#N/A,#N/A,FALSE,"Elec Act vs Bud";#N/A,#N/A,FALSE,"G&amp;A";#N/A,#N/A,FALSE,"BGS";#N/A,#N/A,FALSE,"Res Cost"}</definedName>
    <definedName name="wrn" localSheetId="22"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4" hidden="1">{#N/A,#N/A,FALSE,"CURRENT"}</definedName>
    <definedName name="wrn.722." localSheetId="22" hidden="1">{#N/A,#N/A,FALSE,"CURRENT"}</definedName>
    <definedName name="wrn.722." hidden="1">{#N/A,#N/A,FALSE,"CURRENT"}</definedName>
    <definedName name="wrn.AGT." localSheetId="14" hidden="1">{"AGT",#N/A,FALSE,"Revenue"}</definedName>
    <definedName name="wrn.AGT." localSheetId="22" hidden="1">{"AGT",#N/A,FALSE,"Revenue"}</definedName>
    <definedName name="wrn.AGT." hidden="1">{"AGT",#N/A,FALSE,"Revenue"}</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2"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4" hidden="1">{#N/A,#N/A,FALSE,"O&amp;M by processes";#N/A,#N/A,FALSE,"Elec Act vs Bud";#N/A,#N/A,FALSE,"G&amp;A";#N/A,#N/A,FALSE,"BGS";#N/A,#N/A,FALSE,"Res Cost"}</definedName>
    <definedName name="wrn.Basic." localSheetId="22"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4" hidden="1">{#N/A,#N/A,FALSE,"Elec Deliv";#N/A,#N/A,FALSE,"Atlantic Pie";#N/A,#N/A,FALSE,"Bay Pie";#N/A,#N/A,FALSE,"New Castle Pie";#N/A,#N/A,FALSE,"Transmission Pie"}</definedName>
    <definedName name="wrn.ChartSet." localSheetId="22"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14" hidden="1">{"Input Data",#N/A,FALSE,"Input";"Income and Cash Flow",#N/A,FALSE,"Calculations"}</definedName>
    <definedName name="wrn.Data._.dump." localSheetId="22" hidden="1">{"Input Data",#N/A,FALSE,"Input";"Income and Cash Flow",#N/A,FALSE,"Calculations"}</definedName>
    <definedName name="wrn.Data._.dump." hidden="1">{"Input Data",#N/A,FALSE,"Input";"Income and Cash Flow",#N/A,FALSE,"Calculations"}</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22"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2"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4" hidden="1">{"Print Empty Template",#N/A,FALSE,"Input"}</definedName>
    <definedName name="wrn.For._.filling._.out._.assessments." localSheetId="22" hidden="1">{"Print Empty Template",#N/A,FALSE,"Input"}</definedName>
    <definedName name="wrn.For._.filling._.out._.assessments." hidden="1">{"Print Empty Template",#N/A,FALSE,"Input"}</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22"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14" hidden="1">{#N/A,#N/A,FALSE,"Work performed";#N/A,#N/A,FALSE,"Resources"}</definedName>
    <definedName name="wrn.Report." localSheetId="22" hidden="1">{#N/A,#N/A,FALSE,"Work performed";#N/A,#N/A,FALSE,"Resources"}</definedName>
    <definedName name="wrn.Report." hidden="1">{#N/A,#N/A,FALSE,"Work performed";#N/A,#N/A,FALSE,"Resources"}</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2"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14" hidden="1">{#N/A,#N/A,FALSE,"Work performed";#N/A,#N/A,FALSE,"Resources"}</definedName>
    <definedName name="wrn.Supporting._.Calculations." localSheetId="22" hidden="1">{#N/A,#N/A,FALSE,"Work performed";#N/A,#N/A,FALSE,"Resources"}</definedName>
    <definedName name="wrn.Supporting._.Calculations." hidden="1">{#N/A,#N/A,FALSE,"Work performed";#N/A,#N/A,FALSE,"Resources"}</definedName>
    <definedName name="wrn.Tax._.Accrual." localSheetId="14" hidden="1">{#N/A,#N/A,TRUE,"TAXPROV";#N/A,#N/A,TRUE,"FLOWTHRU";#N/A,#N/A,TRUE,"SCHEDULE M'S";#N/A,#N/A,TRUE,"PLANT M'S";#N/A,#N/A,TRUE,"TAXJE"}</definedName>
    <definedName name="wrn.Tax._.Accrual." localSheetId="22" hidden="1">{#N/A,#N/A,TRUE,"TAXPROV";#N/A,#N/A,TRUE,"FLOWTHRU";#N/A,#N/A,TRUE,"SCHEDULE M'S";#N/A,#N/A,TRUE,"PLANT M'S";#N/A,#N/A,TRUE,"TAXJE"}</definedName>
    <definedName name="wrn.Tax._.Accrual." hidden="1">{#N/A,#N/A,TRUE,"TAXPROV";#N/A,#N/A,TRUE,"FLOWTHRU";#N/A,#N/A,TRUE,"SCHEDULE M'S";#N/A,#N/A,TRUE,"PLANT M'S";#N/A,#N/A,TRUE,"TAXJE"}</definedName>
    <definedName name="xxx" localSheetId="14" hidden="1">{#N/A,#N/A,FALSE,"O&amp;M by processes";#N/A,#N/A,FALSE,"Elec Act vs Bud";#N/A,#N/A,FALSE,"G&amp;A";#N/A,#N/A,FALSE,"BGS";#N/A,#N/A,FALSE,"Res Cost"}</definedName>
    <definedName name="xxx" localSheetId="22"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22" hidden="1">{#N/A,#N/A,FALSE,"O&amp;M by processes";#N/A,#N/A,FALSE,"Elec Act vs Bud";#N/A,#N/A,FALSE,"G&amp;A";#N/A,#N/A,FALSE,"BGS";#N/A,#N/A,FALSE,"Res Cost"}</definedName>
    <definedName name="xxxx" hidden="1">{#N/A,#N/A,FALSE,"O&amp;M by processes";#N/A,#N/A,FALSE,"Elec Act vs Bud";#N/A,#N/A,FALSE,"G&amp;A";#N/A,#N/A,FALSE,"BGS";#N/A,#N/A,FALSE,"Res Cost"}</definedName>
    <definedName name="YEAR1" localSheetId="14">[27]INPUTS!$C$17</definedName>
    <definedName name="YEAR1">[27]INPUTS!$C$17</definedName>
    <definedName name="yeartodate" localSheetId="14">[19]RPT80MAR!$A$84:$D$158</definedName>
    <definedName name="yeartodate">[19]RPT80MAR!$A$84:$D$158</definedName>
    <definedName name="Z_28948E05_8F34_4F1E_96FB_A80A6A844600_.wvu.Cols" localSheetId="7" hidden="1">'4 - Cap Adds'!$K:$AA</definedName>
    <definedName name="Z_28948E05_8F34_4F1E_96FB_A80A6A844600_.wvu.Cols" localSheetId="9" hidden="1">'6a- ADIT'!#REF!</definedName>
    <definedName name="Z_28948E05_8F34_4F1E_96FB_A80A6A844600_.wvu.Cols" localSheetId="10" hidden="1">'6b- ADIT'!#REF!</definedName>
    <definedName name="Z_28948E05_8F34_4F1E_96FB_A80A6A844600_.wvu.PrintArea" localSheetId="9" hidden="1">'6a- ADIT'!$B$1:$H$124</definedName>
    <definedName name="Z_28948E05_8F34_4F1E_96FB_A80A6A844600_.wvu.PrintArea" localSheetId="10" hidden="1">'6b- ADIT'!$B$1:$H$124</definedName>
    <definedName name="Z_28948E05_8F34_4F1E_96FB_A80A6A844600_.wvu.PrintTitles" localSheetId="7" hidden="1">'4 - Cap Adds'!$C:$D</definedName>
    <definedName name="Z_3768C7C8_9953_11DA_B318_000FB55D51DC_.wvu.PrintArea" localSheetId="2" hidden="1">'1 - Revenue Credits'!$A$5:$D$20</definedName>
    <definedName name="Z_3768C7C8_9953_11DA_B318_000FB55D51DC_.wvu.PrintArea" localSheetId="3" hidden="1">'2 - Cost Support '!#REF!</definedName>
    <definedName name="Z_3768C7C8_9953_11DA_B318_000FB55D51DC_.wvu.PrintArea" localSheetId="4" hidden="1">'2a - Cost Support'!$A$49:$M$147</definedName>
    <definedName name="Z_3768C7C8_9953_11DA_B318_000FB55D51DC_.wvu.PrintTitles" localSheetId="3" hidden="1">'2 - Cost Support '!#REF!</definedName>
    <definedName name="Z_3768C7C8_9953_11DA_B318_000FB55D51DC_.wvu.PrintTitles" localSheetId="4" hidden="1">'2a - Cost Support'!#REF!</definedName>
    <definedName name="Z_3768C7C8_9953_11DA_B318_000FB55D51DC_.wvu.Rows" localSheetId="3" hidden="1">'2 - Cost Support '!#REF!</definedName>
    <definedName name="Z_3768C7C8_9953_11DA_B318_000FB55D51DC_.wvu.Rows" localSheetId="4" hidden="1">'2a - Cost Support'!#REF!</definedName>
    <definedName name="Z_3A38DF7A_C35E_4DD3_9893_26310A3EF836_.wvu.Cols" localSheetId="7" hidden="1">'4 - Cap Adds'!$K:$AA</definedName>
    <definedName name="Z_3A38DF7A_C35E_4DD3_9893_26310A3EF836_.wvu.PrintTitles" localSheetId="7" hidden="1">'4 - Cap Adds'!$C:$D</definedName>
    <definedName name="Z_3BDD6235_B127_4929_8311_BDAF7BB89818_.wvu.PrintArea" localSheetId="2" hidden="1">'1 - Revenue Credits'!$A$5:$D$20</definedName>
    <definedName name="Z_3BDD6235_B127_4929_8311_BDAF7BB89818_.wvu.PrintArea" localSheetId="3" hidden="1">'2 - Cost Support '!#REF!</definedName>
    <definedName name="Z_3BDD6235_B127_4929_8311_BDAF7BB89818_.wvu.PrintArea" localSheetId="4" hidden="1">'2a - Cost Support'!$A$49:$M$147</definedName>
    <definedName name="Z_3BDD6235_B127_4929_8311_BDAF7BB89818_.wvu.PrintTitles" localSheetId="3" hidden="1">'2 - Cost Support '!#REF!</definedName>
    <definedName name="Z_3BDD6235_B127_4929_8311_BDAF7BB89818_.wvu.PrintTitles" localSheetId="4" hidden="1">'2a - Cost Support'!#REF!</definedName>
    <definedName name="Z_3BDD6235_B127_4929_8311_BDAF7BB89818_.wvu.Rows" localSheetId="3" hidden="1">'2 - Cost Support '!#REF!</definedName>
    <definedName name="Z_3BDD6235_B127_4929_8311_BDAF7BB89818_.wvu.Rows" localSheetId="4" hidden="1">'2a - Cost Support'!#REF!</definedName>
    <definedName name="Z_4C7C2344_134C_465A_ADEB_A5E96AAE2308_.wvu.Cols" localSheetId="7" hidden="1">'4 - Cap Adds'!$K:$AA</definedName>
    <definedName name="Z_4C7C2344_134C_465A_ADEB_A5E96AAE2308_.wvu.PrintTitles" localSheetId="7" hidden="1">'4 - Cap Adds'!$C:$D</definedName>
    <definedName name="Z_63011E91_4609_4523_98FE_FD252E915668_.wvu.Cols" localSheetId="9" hidden="1">'6a- ADIT'!#REF!</definedName>
    <definedName name="Z_63011E91_4609_4523_98FE_FD252E915668_.wvu.Cols" localSheetId="10" hidden="1">'6b- ADIT'!#REF!</definedName>
    <definedName name="Z_63011E91_4609_4523_98FE_FD252E915668_.wvu.PrintArea" localSheetId="9" hidden="1">'6a- ADIT'!$B$1:$H$124</definedName>
    <definedName name="Z_63011E91_4609_4523_98FE_FD252E915668_.wvu.PrintArea" localSheetId="10" hidden="1">'6b- ADIT'!$B$1:$H$124</definedName>
    <definedName name="Z_6928E596_79BD_4CEC_9F0D_07E62D69B2A5_.wvu.Cols" localSheetId="9" hidden="1">'6a- ADIT'!#REF!</definedName>
    <definedName name="Z_6928E596_79BD_4CEC_9F0D_07E62D69B2A5_.wvu.Cols" localSheetId="10" hidden="1">'6b- ADIT'!#REF!</definedName>
    <definedName name="Z_6928E596_79BD_4CEC_9F0D_07E62D69B2A5_.wvu.PrintArea" localSheetId="9" hidden="1">'6a- ADIT'!$B$1:$H$124</definedName>
    <definedName name="Z_6928E596_79BD_4CEC_9F0D_07E62D69B2A5_.wvu.PrintArea" localSheetId="10" hidden="1">'6b- ADIT'!$B$1:$H$124</definedName>
    <definedName name="Z_71B42B22_A376_44B5_B0C1_23FC1AA3DBA2_.wvu.Cols" localSheetId="7" hidden="1">'4 - Cap Adds'!$K:$AA</definedName>
    <definedName name="Z_71B42B22_A376_44B5_B0C1_23FC1AA3DBA2_.wvu.Cols" localSheetId="9" hidden="1">'6a- ADIT'!#REF!</definedName>
    <definedName name="Z_71B42B22_A376_44B5_B0C1_23FC1AA3DBA2_.wvu.Cols" localSheetId="10" hidden="1">'6b- ADIT'!#REF!</definedName>
    <definedName name="Z_71B42B22_A376_44B5_B0C1_23FC1AA3DBA2_.wvu.PrintArea" localSheetId="9" hidden="1">'6a- ADIT'!$B$1:$H$124</definedName>
    <definedName name="Z_71B42B22_A376_44B5_B0C1_23FC1AA3DBA2_.wvu.PrintArea" localSheetId="10" hidden="1">'6b- ADIT'!$B$1:$H$124</definedName>
    <definedName name="Z_71B42B22_A376_44B5_B0C1_23FC1AA3DBA2_.wvu.PrintTitles" localSheetId="7" hidden="1">'4 - Cap Adds'!$C:$D</definedName>
    <definedName name="Z_8FBB4DC9_2D51_4AB9_80D8_F8474B404C29_.wvu.Cols" localSheetId="9" hidden="1">'6a- ADIT'!#REF!</definedName>
    <definedName name="Z_8FBB4DC9_2D51_4AB9_80D8_F8474B404C29_.wvu.Cols" localSheetId="10" hidden="1">'6b- ADIT'!#REF!</definedName>
    <definedName name="Z_8FBB4DC9_2D51_4AB9_80D8_F8474B404C29_.wvu.PrintArea" localSheetId="9" hidden="1">'6a- ADIT'!$B$1:$H$124</definedName>
    <definedName name="Z_8FBB4DC9_2D51_4AB9_80D8_F8474B404C29_.wvu.PrintArea" localSheetId="10" hidden="1">'6b- ADIT'!$B$1:$H$124</definedName>
    <definedName name="Z_B0241363_5C8A_48FC_89A6_56D55586BABE_.wvu.PrintArea" localSheetId="2" hidden="1">'1 - Revenue Credits'!$A$5:$D$20</definedName>
    <definedName name="Z_B0241363_5C8A_48FC_89A6_56D55586BABE_.wvu.PrintArea" localSheetId="3" hidden="1">'2 - Cost Support '!#REF!</definedName>
    <definedName name="Z_B0241363_5C8A_48FC_89A6_56D55586BABE_.wvu.PrintArea" localSheetId="4" hidden="1">'2a - Cost Support'!$A$49:$M$147</definedName>
    <definedName name="Z_B0241363_5C8A_48FC_89A6_56D55586BABE_.wvu.PrintTitles" localSheetId="3" hidden="1">'2 - Cost Support '!#REF!</definedName>
    <definedName name="Z_B0241363_5C8A_48FC_89A6_56D55586BABE_.wvu.PrintTitles" localSheetId="4" hidden="1">'2a - Cost Support'!#REF!</definedName>
    <definedName name="Z_B0241363_5C8A_48FC_89A6_56D55586BABE_.wvu.Rows" localSheetId="3" hidden="1">'2 - Cost Support '!#REF!</definedName>
    <definedName name="Z_B0241363_5C8A_48FC_89A6_56D55586BABE_.wvu.Rows" localSheetId="4" hidden="1">'2a - Cost Support'!#REF!</definedName>
    <definedName name="Z_B647CB7F_C846_4278_B6B1_1EF7F3C004F5_.wvu.Cols" localSheetId="9" hidden="1">'6a- ADIT'!#REF!</definedName>
    <definedName name="Z_B647CB7F_C846_4278_B6B1_1EF7F3C004F5_.wvu.Cols" localSheetId="10" hidden="1">'6b- ADIT'!#REF!</definedName>
    <definedName name="Z_B647CB7F_C846_4278_B6B1_1EF7F3C004F5_.wvu.PrintArea" localSheetId="9" hidden="1">'6a- ADIT'!$B$1:$H$124</definedName>
    <definedName name="Z_B647CB7F_C846_4278_B6B1_1EF7F3C004F5_.wvu.PrintArea" localSheetId="10" hidden="1">'6b- ADIT'!$B$1:$H$124</definedName>
    <definedName name="Z_C0EA0F9F_7310_4201_82C9_7B8FC8DB9137_.wvu.PrintArea" localSheetId="2" hidden="1">'1 - Revenue Credits'!$A$5:$D$20</definedName>
    <definedName name="Z_C0EA0F9F_7310_4201_82C9_7B8FC8DB9137_.wvu.PrintArea" localSheetId="3" hidden="1">'2 - Cost Support '!#REF!</definedName>
    <definedName name="Z_C0EA0F9F_7310_4201_82C9_7B8FC8DB9137_.wvu.PrintArea" localSheetId="4" hidden="1">'2a - Cost Support'!$A$49:$M$147</definedName>
    <definedName name="Z_C0EA0F9F_7310_4201_82C9_7B8FC8DB9137_.wvu.PrintTitles" localSheetId="3" hidden="1">'2 - Cost Support '!#REF!</definedName>
    <definedName name="Z_C0EA0F9F_7310_4201_82C9_7B8FC8DB9137_.wvu.PrintTitles" localSheetId="4" hidden="1">'2a - Cost Support'!#REF!</definedName>
    <definedName name="Z_C0EA0F9F_7310_4201_82C9_7B8FC8DB9137_.wvu.Rows" localSheetId="3" hidden="1">'2 - Cost Support '!#REF!</definedName>
    <definedName name="Z_C0EA0F9F_7310_4201_82C9_7B8FC8DB9137_.wvu.Rows" localSheetId="4" hidden="1">'2a - Cost Support'!#REF!</definedName>
    <definedName name="Z_DA967730_B71F_4038_B1B7_9D4790729C5D_.wvu.Cols" localSheetId="7" hidden="1">'4 - Cap Adds'!$K:$AA</definedName>
    <definedName name="Z_DA967730_B71F_4038_B1B7_9D4790729C5D_.wvu.PrintTitles" localSheetId="7" hidden="1">'4 - Cap Adds'!$C:$D</definedName>
    <definedName name="Z_DC91DEF3_837B_4BB9_A81E_3B78C5914E6C_.wvu.Cols" localSheetId="7" hidden="1">'4 - Cap Adds'!$K:$AA</definedName>
    <definedName name="Z_DC91DEF3_837B_4BB9_A81E_3B78C5914E6C_.wvu.Cols" localSheetId="9" hidden="1">'6a- ADIT'!#REF!</definedName>
    <definedName name="Z_DC91DEF3_837B_4BB9_A81E_3B78C5914E6C_.wvu.Cols" localSheetId="10" hidden="1">'6b- ADIT'!#REF!</definedName>
    <definedName name="Z_DC91DEF3_837B_4BB9_A81E_3B78C5914E6C_.wvu.PrintArea" localSheetId="9" hidden="1">'6a- ADIT'!$B$1:$H$124</definedName>
    <definedName name="Z_DC91DEF3_837B_4BB9_A81E_3B78C5914E6C_.wvu.PrintArea" localSheetId="10" hidden="1">'6b- ADIT'!$B$1:$H$124</definedName>
    <definedName name="Z_DC91DEF3_837B_4BB9_A81E_3B78C5914E6C_.wvu.PrintTitles" localSheetId="7" hidden="1">'4 - Cap Adds'!$C:$D</definedName>
    <definedName name="Z_F04A2B9A_C6FE_4FEB_AD1E_2CF9AC309BE4_.wvu.PrintArea" localSheetId="8" hidden="1">'5-Construction Loan'!$A$1:$J$88</definedName>
    <definedName name="Z_F96D6087_3330_4A81_95EC_26BA83722A49_.wvu.Cols" localSheetId="7" hidden="1">'4 - Cap Adds'!$K:$AA</definedName>
    <definedName name="Z_F96D6087_3330_4A81_95EC_26BA83722A49_.wvu.PrintTitles" localSheetId="7" hidden="1">'4 - Cap Adds'!$C:$D</definedName>
    <definedName name="Z_FAAD9AAC_1337_43AB_BF1F_CCF9DFCF5B78_.wvu.Cols" localSheetId="7" hidden="1">'4 - Cap Adds'!$K:$AA</definedName>
    <definedName name="Z_FAAD9AAC_1337_43AB_BF1F_CCF9DFCF5B78_.wvu.Cols" localSheetId="9" hidden="1">'6a- ADIT'!#REF!</definedName>
    <definedName name="Z_FAAD9AAC_1337_43AB_BF1F_CCF9DFCF5B78_.wvu.Cols" localSheetId="10" hidden="1">'6b- ADIT'!#REF!</definedName>
    <definedName name="Z_FAAD9AAC_1337_43AB_BF1F_CCF9DFCF5B78_.wvu.PrintArea" localSheetId="9" hidden="1">'6a- ADIT'!$B$1:$H$124</definedName>
    <definedName name="Z_FAAD9AAC_1337_43AB_BF1F_CCF9DFCF5B78_.wvu.PrintArea" localSheetId="10" hidden="1">'6b- ADIT'!$B$1:$H$124</definedName>
    <definedName name="Z_FAAD9AAC_1337_43AB_BF1F_CCF9DFCF5B78_.wvu.PrintTitles" localSheetId="7" hidden="1">'4 - Cap Adds'!$C:$D</definedName>
    <definedName name="zero">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0" i="29" l="1"/>
  <c r="E142" i="29" l="1"/>
  <c r="E145" i="29" s="1"/>
  <c r="I46" i="32" l="1"/>
  <c r="H200" i="3" l="1"/>
  <c r="H22" i="27" l="1"/>
  <c r="H21" i="27"/>
  <c r="G22" i="27"/>
  <c r="G21" i="27"/>
  <c r="Z7" i="45" l="1"/>
  <c r="W7" i="45"/>
  <c r="R8" i="45" l="1"/>
  <c r="S8" i="45" s="1"/>
  <c r="T8" i="45" s="1"/>
  <c r="U8" i="45" s="1"/>
  <c r="V8" i="45" s="1"/>
  <c r="W8" i="45" s="1"/>
  <c r="X8" i="45" s="1"/>
  <c r="Y8" i="45" s="1"/>
  <c r="Z8" i="45" s="1"/>
  <c r="AA8" i="45" s="1"/>
  <c r="AB8" i="45" s="1"/>
  <c r="AC8" i="45" s="1"/>
  <c r="R7" i="45"/>
  <c r="S7" i="45" s="1"/>
  <c r="T7" i="45" s="1"/>
  <c r="U7" i="45" s="1"/>
  <c r="V7" i="45" s="1"/>
  <c r="X7" i="45" s="1"/>
  <c r="Y7" i="45" s="1"/>
  <c r="AA7" i="45" s="1"/>
  <c r="AB7" i="45" s="1"/>
  <c r="AC7" i="45" s="1"/>
  <c r="AC22" i="45" s="1"/>
  <c r="G12" i="44" l="1"/>
  <c r="E11" i="44"/>
  <c r="G14" i="25" l="1"/>
  <c r="G7" i="29" l="1"/>
  <c r="G11" i="44" l="1"/>
  <c r="G10" i="44"/>
  <c r="G18" i="44" l="1"/>
  <c r="H46" i="32" l="1"/>
  <c r="E166" i="29" l="1"/>
  <c r="E168" i="29" s="1"/>
  <c r="D43" i="32" l="1"/>
  <c r="C21" i="17" l="1"/>
  <c r="C22" i="17" s="1"/>
  <c r="C23" i="17" s="1"/>
  <c r="C24" i="17" s="1"/>
  <c r="C25" i="17" s="1"/>
  <c r="C26" i="17" s="1"/>
  <c r="C27" i="17" s="1"/>
  <c r="C28" i="17" s="1"/>
  <c r="C29" i="17" s="1"/>
  <c r="C30" i="17" s="1"/>
  <c r="C31" i="17" s="1"/>
  <c r="H119" i="3" l="1"/>
  <c r="E16" i="48"/>
  <c r="E15" i="48"/>
  <c r="E14" i="48"/>
  <c r="E13" i="48"/>
  <c r="E12" i="48"/>
  <c r="E11" i="48"/>
  <c r="E10" i="48"/>
  <c r="E9" i="48"/>
  <c r="E8" i="48"/>
  <c r="E7" i="48"/>
  <c r="U31" i="47"/>
  <c r="Y31" i="47" s="1"/>
  <c r="U30" i="47"/>
  <c r="Y30" i="47" s="1"/>
  <c r="U29" i="47"/>
  <c r="Y29" i="47" s="1"/>
  <c r="U28" i="47"/>
  <c r="Y28" i="47" s="1"/>
  <c r="U27" i="47"/>
  <c r="Y27" i="47" s="1"/>
  <c r="U26" i="47"/>
  <c r="Y26" i="47" s="1"/>
  <c r="U25" i="47"/>
  <c r="Y25" i="47" s="1"/>
  <c r="Y24" i="47"/>
  <c r="U24" i="47"/>
  <c r="U23" i="47"/>
  <c r="Y23" i="47" s="1"/>
  <c r="U22" i="47"/>
  <c r="Y22" i="47" s="1"/>
  <c r="U21" i="47"/>
  <c r="Y21" i="47" s="1"/>
  <c r="U20" i="47"/>
  <c r="Y20" i="47" s="1"/>
  <c r="U19" i="47"/>
  <c r="Y19" i="47" s="1"/>
  <c r="U18" i="47"/>
  <c r="Y18" i="47" s="1"/>
  <c r="U17" i="47"/>
  <c r="Y17" i="47" s="1"/>
  <c r="U16" i="47"/>
  <c r="Y16" i="47" s="1"/>
  <c r="U15" i="47"/>
  <c r="Y15" i="47" s="1"/>
  <c r="U14" i="47"/>
  <c r="Y14" i="47" s="1"/>
  <c r="U13" i="47"/>
  <c r="Y13" i="47" s="1"/>
  <c r="U12" i="47"/>
  <c r="Y12" i="47" s="1"/>
  <c r="U11" i="47"/>
  <c r="Y11" i="47" s="1"/>
  <c r="U10" i="47"/>
  <c r="Y10" i="47" s="1"/>
  <c r="U9" i="47"/>
  <c r="Y9" i="47" s="1"/>
  <c r="Y8" i="47"/>
  <c r="U8" i="47"/>
  <c r="U7" i="47"/>
  <c r="Y7" i="47" s="1"/>
  <c r="I139" i="29"/>
  <c r="I141" i="29" s="1"/>
  <c r="C10" i="29"/>
  <c r="D139" i="29"/>
  <c r="D141" i="29" s="1"/>
  <c r="Q31" i="46"/>
  <c r="W31" i="46" s="1"/>
  <c r="Q30" i="46"/>
  <c r="W30" i="46" s="1"/>
  <c r="Q29" i="46"/>
  <c r="W29" i="46" s="1"/>
  <c r="Q28" i="46"/>
  <c r="W28" i="46" s="1"/>
  <c r="Q27" i="46"/>
  <c r="W27" i="46" s="1"/>
  <c r="Q26" i="46"/>
  <c r="W26" i="46" s="1"/>
  <c r="Q25" i="46"/>
  <c r="W25" i="46" s="1"/>
  <c r="Q24" i="46"/>
  <c r="W24" i="46" s="1"/>
  <c r="Q23" i="46"/>
  <c r="W23" i="46" s="1"/>
  <c r="Q22" i="46"/>
  <c r="W22" i="46" s="1"/>
  <c r="Q21" i="46"/>
  <c r="W21" i="46" s="1"/>
  <c r="Q20" i="46"/>
  <c r="W20" i="46" s="1"/>
  <c r="Q19" i="46"/>
  <c r="W19" i="46" s="1"/>
  <c r="Q18" i="46"/>
  <c r="W18" i="46" s="1"/>
  <c r="Q17" i="46"/>
  <c r="W17" i="46" s="1"/>
  <c r="Q16" i="46"/>
  <c r="W16" i="46" s="1"/>
  <c r="Q15" i="46"/>
  <c r="W15" i="46" s="1"/>
  <c r="Q14" i="46"/>
  <c r="W14" i="46" s="1"/>
  <c r="Q13" i="46"/>
  <c r="W13" i="46" s="1"/>
  <c r="Q12" i="46"/>
  <c r="W12" i="46" s="1"/>
  <c r="Q11" i="46"/>
  <c r="W11" i="46" s="1"/>
  <c r="Q10" i="46"/>
  <c r="Q9" i="46"/>
  <c r="W9" i="46" s="1"/>
  <c r="Q8" i="46"/>
  <c r="W8" i="46" s="1"/>
  <c r="Q7" i="46"/>
  <c r="W7" i="46" s="1"/>
  <c r="AH16" i="45"/>
  <c r="AD16" i="45"/>
  <c r="H16" i="45"/>
  <c r="L16" i="45" s="1"/>
  <c r="P16" i="45" s="1"/>
  <c r="AH15" i="45"/>
  <c r="AD15" i="45"/>
  <c r="H15" i="45"/>
  <c r="L15" i="45" s="1"/>
  <c r="P15" i="45" s="1"/>
  <c r="AH14" i="45"/>
  <c r="AD14" i="45"/>
  <c r="H14" i="45"/>
  <c r="L14" i="45" s="1"/>
  <c r="P14" i="45" s="1"/>
  <c r="AH13" i="45"/>
  <c r="AD13" i="45"/>
  <c r="H13" i="45"/>
  <c r="L13" i="45"/>
  <c r="P13" i="45" s="1"/>
  <c r="AH12" i="45"/>
  <c r="AJ12" i="45" s="1"/>
  <c r="AD12" i="45"/>
  <c r="H12" i="45"/>
  <c r="L12" i="45" s="1"/>
  <c r="P12" i="45" s="1"/>
  <c r="AH11" i="45"/>
  <c r="AJ11" i="45" s="1"/>
  <c r="AD11" i="45"/>
  <c r="H11" i="45"/>
  <c r="L11" i="45" s="1"/>
  <c r="P11" i="45" s="1"/>
  <c r="AH10" i="45"/>
  <c r="AD10" i="45"/>
  <c r="H10" i="45"/>
  <c r="L10" i="45" s="1"/>
  <c r="P10" i="45" s="1"/>
  <c r="AH9" i="45"/>
  <c r="AD9" i="45"/>
  <c r="H9" i="45"/>
  <c r="L9" i="45" s="1"/>
  <c r="P9" i="45" s="1"/>
  <c r="AH8" i="45"/>
  <c r="H8" i="45"/>
  <c r="AH7" i="45"/>
  <c r="H7" i="45"/>
  <c r="AJ9" i="45"/>
  <c r="D13" i="20"/>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F105" i="9"/>
  <c r="F89" i="9"/>
  <c r="E64" i="3" s="1"/>
  <c r="F52" i="9"/>
  <c r="F36" i="9"/>
  <c r="D54" i="40"/>
  <c r="D36" i="40"/>
  <c r="E22" i="40" s="1"/>
  <c r="E18" i="40"/>
  <c r="C35" i="40"/>
  <c r="E13" i="40" s="1"/>
  <c r="E11" i="40"/>
  <c r="E10" i="40"/>
  <c r="E19" i="40" s="1"/>
  <c r="A10" i="22"/>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B84" i="32"/>
  <c r="G30" i="27"/>
  <c r="H30" i="27"/>
  <c r="D46" i="42"/>
  <c r="G25" i="43"/>
  <c r="G24" i="43"/>
  <c r="G23" i="43"/>
  <c r="G22" i="43"/>
  <c r="G21" i="43"/>
  <c r="G20" i="43"/>
  <c r="G19" i="43"/>
  <c r="G18" i="43"/>
  <c r="G17" i="43"/>
  <c r="G16" i="43"/>
  <c r="G15" i="43"/>
  <c r="G14" i="43"/>
  <c r="G13" i="43"/>
  <c r="G12" i="43"/>
  <c r="G11" i="43"/>
  <c r="G10" i="43"/>
  <c r="E46" i="42"/>
  <c r="F46" i="42"/>
  <c r="H46" i="42"/>
  <c r="I45" i="42"/>
  <c r="I44" i="42"/>
  <c r="I43" i="42"/>
  <c r="I42" i="42"/>
  <c r="I41" i="42"/>
  <c r="I40" i="42"/>
  <c r="I39" i="42"/>
  <c r="I38" i="42"/>
  <c r="I36" i="42"/>
  <c r="I35" i="42"/>
  <c r="I34" i="42"/>
  <c r="I33" i="42"/>
  <c r="I32" i="42"/>
  <c r="I31" i="42"/>
  <c r="I24" i="42"/>
  <c r="I23" i="42"/>
  <c r="I22" i="42"/>
  <c r="I21" i="42"/>
  <c r="I20" i="42"/>
  <c r="I19" i="42"/>
  <c r="I18" i="42"/>
  <c r="I17" i="42"/>
  <c r="I16" i="42"/>
  <c r="I15" i="42"/>
  <c r="I14" i="42"/>
  <c r="I13" i="42"/>
  <c r="I12" i="42"/>
  <c r="I11" i="42"/>
  <c r="I37" i="42"/>
  <c r="A18" i="31"/>
  <c r="A19" i="31" s="1"/>
  <c r="A20" i="31" s="1"/>
  <c r="A21" i="31" s="1"/>
  <c r="C20" i="40"/>
  <c r="C63" i="40"/>
  <c r="C18" i="44"/>
  <c r="D18" i="44"/>
  <c r="E18" i="44"/>
  <c r="F18" i="44"/>
  <c r="M37" i="43"/>
  <c r="M38" i="43"/>
  <c r="M39" i="43"/>
  <c r="M40" i="43"/>
  <c r="M41" i="43"/>
  <c r="M42" i="43"/>
  <c r="M43" i="43"/>
  <c r="M44" i="43"/>
  <c r="M45" i="43"/>
  <c r="M46" i="43"/>
  <c r="M47" i="43"/>
  <c r="M48" i="43"/>
  <c r="M49" i="43"/>
  <c r="M50" i="43"/>
  <c r="M51" i="43"/>
  <c r="M52" i="43"/>
  <c r="M53" i="43"/>
  <c r="A11" i="42"/>
  <c r="A12" i="42" s="1"/>
  <c r="A13" i="42" s="1"/>
  <c r="A14" i="42" s="1"/>
  <c r="A15" i="42" s="1"/>
  <c r="A16" i="42" s="1"/>
  <c r="A17" i="42" s="1"/>
  <c r="A18" i="42" s="1"/>
  <c r="A19" i="42" s="1"/>
  <c r="A20" i="42" s="1"/>
  <c r="A21" i="42" s="1"/>
  <c r="A22" i="42" s="1"/>
  <c r="A23" i="42" s="1"/>
  <c r="A24" i="42" s="1"/>
  <c r="A25" i="42" s="1"/>
  <c r="A31" i="42" s="1"/>
  <c r="A32" i="42" s="1"/>
  <c r="A33" i="42" s="1"/>
  <c r="A34" i="42" s="1"/>
  <c r="A35" i="42" s="1"/>
  <c r="A36" i="42" s="1"/>
  <c r="A37" i="42" s="1"/>
  <c r="A38" i="42" s="1"/>
  <c r="A39" i="42" s="1"/>
  <c r="A40" i="42" s="1"/>
  <c r="A41" i="42" s="1"/>
  <c r="A42" i="42" s="1"/>
  <c r="A43" i="42" s="1"/>
  <c r="A44" i="42" s="1"/>
  <c r="A45" i="42" s="1"/>
  <c r="A46" i="42" s="1"/>
  <c r="A10" i="4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I10" i="41"/>
  <c r="I11" i="41"/>
  <c r="I12" i="41"/>
  <c r="I13" i="41"/>
  <c r="I14" i="41"/>
  <c r="I15" i="41"/>
  <c r="I16" i="41"/>
  <c r="I17" i="41"/>
  <c r="I18" i="41"/>
  <c r="I19" i="41"/>
  <c r="I20" i="41"/>
  <c r="I21" i="41"/>
  <c r="I22" i="41"/>
  <c r="I23" i="41"/>
  <c r="I24" i="41"/>
  <c r="I25" i="41"/>
  <c r="I26" i="41"/>
  <c r="I27" i="41"/>
  <c r="I28" i="41"/>
  <c r="I29" i="41"/>
  <c r="I30" i="41"/>
  <c r="I31" i="41"/>
  <c r="I32" i="41"/>
  <c r="D33" i="41"/>
  <c r="F33" i="41"/>
  <c r="H33" i="41"/>
  <c r="H10" i="42" s="1"/>
  <c r="I10" i="42" s="1"/>
  <c r="I39" i="41"/>
  <c r="I40" i="41"/>
  <c r="I41" i="41"/>
  <c r="I42" i="41"/>
  <c r="I43" i="41"/>
  <c r="I44" i="41"/>
  <c r="I45" i="41"/>
  <c r="I46" i="41"/>
  <c r="I47" i="41"/>
  <c r="I48" i="41"/>
  <c r="I49" i="41"/>
  <c r="I50" i="41"/>
  <c r="I51" i="41"/>
  <c r="I52" i="41"/>
  <c r="I53" i="41"/>
  <c r="I54" i="41"/>
  <c r="I55" i="41"/>
  <c r="I56" i="41"/>
  <c r="I57" i="41"/>
  <c r="I58" i="41"/>
  <c r="I59" i="41"/>
  <c r="I60" i="41"/>
  <c r="I61" i="41"/>
  <c r="I62" i="41"/>
  <c r="D63" i="41"/>
  <c r="E63" i="41"/>
  <c r="F63" i="41"/>
  <c r="H63" i="41"/>
  <c r="A10" i="40"/>
  <c r="A11" i="40" s="1"/>
  <c r="A12" i="40" s="1"/>
  <c r="A13" i="40" s="1"/>
  <c r="A18" i="40" s="1"/>
  <c r="A19" i="40" s="1"/>
  <c r="A20" i="40" s="1"/>
  <c r="A21" i="40" s="1"/>
  <c r="A22" i="40" s="1"/>
  <c r="A27" i="40" s="1"/>
  <c r="A28" i="40" s="1"/>
  <c r="A29" i="40" s="1"/>
  <c r="A30" i="40" s="1"/>
  <c r="A35" i="40" s="1"/>
  <c r="A36" i="40" s="1"/>
  <c r="A37" i="40" s="1"/>
  <c r="A43" i="40" s="1"/>
  <c r="A44" i="40" s="1"/>
  <c r="A45" i="40" s="1"/>
  <c r="A46" i="40" s="1"/>
  <c r="A47" i="40" s="1"/>
  <c r="A50" i="40" s="1"/>
  <c r="A51" i="40" s="1"/>
  <c r="A52" i="40" s="1"/>
  <c r="A54" i="40" s="1"/>
  <c r="A55" i="40" s="1"/>
  <c r="B19" i="40"/>
  <c r="E21" i="40"/>
  <c r="D51" i="40" s="1"/>
  <c r="B20" i="40"/>
  <c r="F27" i="40"/>
  <c r="F28" i="40"/>
  <c r="F29" i="40"/>
  <c r="F30" i="40" s="1"/>
  <c r="D30" i="40"/>
  <c r="E30" i="40"/>
  <c r="E43" i="40"/>
  <c r="F43" i="40"/>
  <c r="C46" i="40" s="1"/>
  <c r="B50" i="40"/>
  <c r="B51" i="40"/>
  <c r="F61" i="40"/>
  <c r="F62" i="40"/>
  <c r="F63" i="40"/>
  <c r="F64" i="40"/>
  <c r="F65" i="40"/>
  <c r="E12" i="40"/>
  <c r="D50" i="40" s="1"/>
  <c r="E9" i="40"/>
  <c r="P41" i="38"/>
  <c r="H201" i="3" s="1"/>
  <c r="G13" i="25" s="1"/>
  <c r="P34" i="38"/>
  <c r="P23" i="38"/>
  <c r="P25" i="38" s="1"/>
  <c r="O23" i="38"/>
  <c r="N23" i="38"/>
  <c r="M23" i="38"/>
  <c r="L23" i="38"/>
  <c r="K23" i="38"/>
  <c r="J23" i="38"/>
  <c r="I23" i="38"/>
  <c r="H23" i="38"/>
  <c r="G23" i="38"/>
  <c r="F23" i="38"/>
  <c r="E23" i="38"/>
  <c r="D23" i="38"/>
  <c r="B23" i="38"/>
  <c r="Q22" i="38"/>
  <c r="Q21" i="38"/>
  <c r="Q20" i="38"/>
  <c r="Q19" i="38"/>
  <c r="Q17" i="38"/>
  <c r="E201" i="3" s="1"/>
  <c r="D13" i="25" s="1"/>
  <c r="P15" i="38"/>
  <c r="O15" i="38"/>
  <c r="N15" i="38"/>
  <c r="M15" i="38"/>
  <c r="L15" i="38"/>
  <c r="K15" i="38"/>
  <c r="J15" i="38"/>
  <c r="I15" i="38"/>
  <c r="H15" i="38"/>
  <c r="G15" i="38"/>
  <c r="F15" i="38"/>
  <c r="E15" i="38"/>
  <c r="E25" i="38" s="1"/>
  <c r="D15" i="38"/>
  <c r="Q14" i="38"/>
  <c r="Q13" i="38"/>
  <c r="Q12" i="38"/>
  <c r="Q11" i="38"/>
  <c r="A3" i="32"/>
  <c r="E74" i="32"/>
  <c r="E73" i="32"/>
  <c r="E72" i="32"/>
  <c r="E71" i="32"/>
  <c r="E70" i="32"/>
  <c r="E69" i="32"/>
  <c r="E68" i="32"/>
  <c r="E67" i="32"/>
  <c r="E66" i="32"/>
  <c r="E65" i="32"/>
  <c r="E64" i="32"/>
  <c r="E63" i="32"/>
  <c r="E62" i="32"/>
  <c r="E61" i="32"/>
  <c r="E60" i="32"/>
  <c r="E59" i="32"/>
  <c r="E58" i="32"/>
  <c r="E57" i="32"/>
  <c r="E56" i="32"/>
  <c r="E55" i="32"/>
  <c r="F56" i="32" s="1"/>
  <c r="E54" i="32"/>
  <c r="C46" i="32"/>
  <c r="A44" i="32"/>
  <c r="A45" i="32" s="1"/>
  <c r="A46"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E43" i="32"/>
  <c r="F43" i="32" s="1"/>
  <c r="A18" i="32"/>
  <c r="A19" i="32" s="1"/>
  <c r="A20" i="32" s="1"/>
  <c r="A21" i="32" s="1"/>
  <c r="A22" i="32"/>
  <c r="A23" i="32" s="1"/>
  <c r="A26" i="32" s="1"/>
  <c r="A27" i="32" s="1"/>
  <c r="A28" i="32" s="1"/>
  <c r="A29" i="32" s="1"/>
  <c r="A30" i="32" s="1"/>
  <c r="A31" i="32" s="1"/>
  <c r="A32" i="32" s="1"/>
  <c r="A34" i="32" s="1"/>
  <c r="A36" i="32" s="1"/>
  <c r="A37" i="32" s="1"/>
  <c r="A38" i="32" s="1"/>
  <c r="F34" i="32"/>
  <c r="H58" i="32" s="1"/>
  <c r="F28" i="5"/>
  <c r="F32" i="5" s="1"/>
  <c r="E28" i="5"/>
  <c r="E32" i="5" s="1"/>
  <c r="D28" i="5"/>
  <c r="D32" i="5" s="1"/>
  <c r="C25" i="5"/>
  <c r="C26" i="5"/>
  <c r="C27" i="5"/>
  <c r="C30" i="5"/>
  <c r="C31" i="5"/>
  <c r="A13" i="31"/>
  <c r="D14" i="3"/>
  <c r="D15" i="3" s="1"/>
  <c r="D16" i="3" s="1"/>
  <c r="D17" i="3" s="1"/>
  <c r="D21" i="3"/>
  <c r="B8" i="31"/>
  <c r="B9" i="31"/>
  <c r="B10" i="31" s="1"/>
  <c r="B11" i="31" s="1"/>
  <c r="B15" i="31"/>
  <c r="B16" i="31" s="1"/>
  <c r="H127" i="30"/>
  <c r="H128" i="30" s="1"/>
  <c r="H129" i="30" s="1"/>
  <c r="H130" i="30" s="1"/>
  <c r="H131" i="30" s="1"/>
  <c r="H132" i="30" s="1"/>
  <c r="H133" i="30" s="1"/>
  <c r="H134" i="30" s="1"/>
  <c r="H135" i="30" s="1"/>
  <c r="H136" i="30" s="1"/>
  <c r="H137" i="30" s="1"/>
  <c r="H138" i="30" s="1"/>
  <c r="H143" i="30" s="1"/>
  <c r="H149" i="30" s="1"/>
  <c r="H150" i="30" s="1"/>
  <c r="H151" i="30" s="1"/>
  <c r="H152" i="30" s="1"/>
  <c r="H153" i="30" s="1"/>
  <c r="H154" i="30" s="1"/>
  <c r="H155" i="30" s="1"/>
  <c r="H156" i="30" s="1"/>
  <c r="H157" i="30" s="1"/>
  <c r="H158" i="30" s="1"/>
  <c r="H159" i="30" s="1"/>
  <c r="H160" i="30" s="1"/>
  <c r="D32" i="30"/>
  <c r="D33" i="30" s="1"/>
  <c r="D34" i="30" s="1"/>
  <c r="D35" i="30" s="1"/>
  <c r="D36" i="30" s="1"/>
  <c r="D37" i="30" s="1"/>
  <c r="D38" i="30" s="1"/>
  <c r="D39" i="30" s="1"/>
  <c r="D40" i="30" s="1"/>
  <c r="D41" i="30" s="1"/>
  <c r="D42" i="30" s="1"/>
  <c r="D43" i="30" s="1"/>
  <c r="D48" i="30" s="1"/>
  <c r="H49" i="30"/>
  <c r="H50" i="30"/>
  <c r="H48" i="30"/>
  <c r="H82" i="30" s="1"/>
  <c r="H83" i="30" s="1"/>
  <c r="H84" i="30" s="1"/>
  <c r="H85" i="30" s="1"/>
  <c r="H86" i="30" s="1"/>
  <c r="H87" i="30" s="1"/>
  <c r="H88" i="30" s="1"/>
  <c r="H89" i="30" s="1"/>
  <c r="H90" i="30" s="1"/>
  <c r="H91" i="30" s="1"/>
  <c r="H92" i="30" s="1"/>
  <c r="H93" i="30" s="1"/>
  <c r="H32" i="30"/>
  <c r="H33" i="30" s="1"/>
  <c r="H34" i="30" s="1"/>
  <c r="H35" i="30" s="1"/>
  <c r="H36" i="30" s="1"/>
  <c r="H37" i="30" s="1"/>
  <c r="H38" i="30" s="1"/>
  <c r="H39" i="30" s="1"/>
  <c r="H40" i="30" s="1"/>
  <c r="H41" i="30" s="1"/>
  <c r="H42" i="30" s="1"/>
  <c r="H43" i="30" s="1"/>
  <c r="L10" i="30"/>
  <c r="N71" i="30" s="1"/>
  <c r="J33" i="30"/>
  <c r="J34" i="30" s="1"/>
  <c r="J35" i="30" s="1"/>
  <c r="J36" i="30" s="1"/>
  <c r="J37" i="30" s="1"/>
  <c r="J38" i="30" s="1"/>
  <c r="J39" i="30" s="1"/>
  <c r="J40" i="30" s="1"/>
  <c r="J41" i="30" s="1"/>
  <c r="J42" i="30" s="1"/>
  <c r="J43" i="30" s="1"/>
  <c r="L12" i="30"/>
  <c r="F127" i="30" s="1"/>
  <c r="F128" i="30" s="1"/>
  <c r="J128" i="30"/>
  <c r="J129" i="30"/>
  <c r="J130" i="30" s="1"/>
  <c r="J131" i="30" s="1"/>
  <c r="J132" i="30" s="1"/>
  <c r="J133" i="30" s="1"/>
  <c r="J134" i="30" s="1"/>
  <c r="J135" i="30" s="1"/>
  <c r="J136" i="30" s="1"/>
  <c r="J137" i="30" s="1"/>
  <c r="J138" i="30" s="1"/>
  <c r="L11" i="30"/>
  <c r="N120" i="30" s="1"/>
  <c r="J83" i="30"/>
  <c r="J84" i="30" s="1"/>
  <c r="J85" i="30" s="1"/>
  <c r="J86" i="30" s="1"/>
  <c r="J87" i="30" s="1"/>
  <c r="J88" i="30" s="1"/>
  <c r="J89" i="30" s="1"/>
  <c r="J90" i="30" s="1"/>
  <c r="J91" i="30" s="1"/>
  <c r="J92" i="30" s="1"/>
  <c r="J93" i="30" s="1"/>
  <c r="B3" i="30"/>
  <c r="B76" i="30" s="1"/>
  <c r="A10" i="20"/>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E64" i="22"/>
  <c r="E67" i="22" s="1"/>
  <c r="D9" i="22" s="1"/>
  <c r="E64" i="23"/>
  <c r="E67" i="23" s="1"/>
  <c r="D9" i="23" s="1"/>
  <c r="E93" i="23"/>
  <c r="E96" i="23" s="1"/>
  <c r="D10" i="23" s="1"/>
  <c r="E36" i="23"/>
  <c r="E39" i="23" s="1"/>
  <c r="D11" i="23"/>
  <c r="E93" i="22"/>
  <c r="E96" i="22" s="1"/>
  <c r="D10" i="22" s="1"/>
  <c r="E36" i="22"/>
  <c r="E39" i="22" s="1"/>
  <c r="D11" i="22" s="1"/>
  <c r="F64" i="23"/>
  <c r="F93" i="23"/>
  <c r="F96" i="23" s="1"/>
  <c r="E10" i="23" s="1"/>
  <c r="F36" i="23"/>
  <c r="F39" i="23" s="1"/>
  <c r="E11" i="23" s="1"/>
  <c r="F64" i="22"/>
  <c r="F93" i="22"/>
  <c r="F36" i="22"/>
  <c r="F39" i="22" s="1"/>
  <c r="E11" i="22" s="1"/>
  <c r="G64" i="23"/>
  <c r="G67" i="23" s="1"/>
  <c r="F9" i="23" s="1"/>
  <c r="G93" i="23"/>
  <c r="G96" i="23" s="1"/>
  <c r="F10" i="23" s="1"/>
  <c r="G36" i="23"/>
  <c r="G39" i="23" s="1"/>
  <c r="F11" i="23" s="1"/>
  <c r="E196" i="3"/>
  <c r="J196" i="3" s="1"/>
  <c r="F13" i="22" s="1"/>
  <c r="G64" i="22"/>
  <c r="G67" i="22" s="1"/>
  <c r="F9" i="22" s="1"/>
  <c r="G93" i="22"/>
  <c r="G96" i="22"/>
  <c r="F10" i="22" s="1"/>
  <c r="G36" i="22"/>
  <c r="G39" i="22" s="1"/>
  <c r="F11" i="22" s="1"/>
  <c r="F20" i="9"/>
  <c r="E58" i="3" s="1"/>
  <c r="F73" i="9"/>
  <c r="G5" i="29"/>
  <c r="E74" i="3" s="1"/>
  <c r="H30" i="29"/>
  <c r="H31" i="29"/>
  <c r="H59" i="29"/>
  <c r="H60" i="29"/>
  <c r="H64" i="29"/>
  <c r="H77" i="3"/>
  <c r="H76" i="3"/>
  <c r="F140" i="29"/>
  <c r="F142" i="29" s="1"/>
  <c r="F143" i="29" s="1"/>
  <c r="G140" i="29"/>
  <c r="G142" i="29" s="1"/>
  <c r="G143" i="29" s="1"/>
  <c r="E78" i="3"/>
  <c r="J78" i="3" s="1"/>
  <c r="H210" i="3" s="1"/>
  <c r="I53" i="29"/>
  <c r="E81" i="3" s="1"/>
  <c r="E120" i="3"/>
  <c r="E170" i="29"/>
  <c r="E156" i="29"/>
  <c r="E158" i="29" s="1"/>
  <c r="E160" i="29" s="1"/>
  <c r="E176" i="29"/>
  <c r="E178" i="29" s="1"/>
  <c r="E180" i="29" s="1"/>
  <c r="I89" i="29"/>
  <c r="H119" i="29"/>
  <c r="H120" i="29"/>
  <c r="H121" i="29"/>
  <c r="H122" i="29"/>
  <c r="H123" i="29"/>
  <c r="H124" i="29"/>
  <c r="H125" i="29"/>
  <c r="H126" i="29"/>
  <c r="H127" i="29"/>
  <c r="H128" i="29"/>
  <c r="H129" i="29"/>
  <c r="H130" i="29"/>
  <c r="H131" i="29"/>
  <c r="F26" i="29"/>
  <c r="E86" i="3" s="1"/>
  <c r="E12" i="25"/>
  <c r="E14" i="25"/>
  <c r="I14" i="25" s="1"/>
  <c r="L98" i="29"/>
  <c r="E253" i="3"/>
  <c r="E141" i="3" s="1"/>
  <c r="D24" i="25"/>
  <c r="J202" i="3"/>
  <c r="I29" i="27"/>
  <c r="I28" i="27"/>
  <c r="I27" i="27"/>
  <c r="I26" i="27"/>
  <c r="I25" i="27"/>
  <c r="E127" i="3"/>
  <c r="J136" i="3"/>
  <c r="A35" i="3"/>
  <c r="A36" i="3" s="1"/>
  <c r="B22" i="25"/>
  <c r="J186" i="3"/>
  <c r="C186" i="3"/>
  <c r="B3" i="17"/>
  <c r="A7" i="9"/>
  <c r="A8" i="9" s="1"/>
  <c r="A9" i="9" s="1"/>
  <c r="A10" i="9" s="1"/>
  <c r="A11" i="9" s="1"/>
  <c r="A12" i="9" s="1"/>
  <c r="A13" i="9" s="1"/>
  <c r="A14" i="9" s="1"/>
  <c r="A15" i="9" s="1"/>
  <c r="A16" i="9" s="1"/>
  <c r="A17" i="9" s="1"/>
  <c r="A18" i="9" s="1"/>
  <c r="A19" i="9" s="1"/>
  <c r="H138" i="29"/>
  <c r="F43" i="29"/>
  <c r="E104" i="9"/>
  <c r="E103" i="9"/>
  <c r="E102" i="9"/>
  <c r="E101" i="9"/>
  <c r="E100" i="9"/>
  <c r="E99" i="9"/>
  <c r="E98" i="9"/>
  <c r="E97" i="9"/>
  <c r="E96" i="9"/>
  <c r="E95" i="9"/>
  <c r="E94" i="9"/>
  <c r="E93" i="9"/>
  <c r="E92" i="9"/>
  <c r="E88" i="9"/>
  <c r="E87" i="9"/>
  <c r="E86" i="9"/>
  <c r="E85" i="9"/>
  <c r="E84" i="9"/>
  <c r="E83" i="9"/>
  <c r="E82" i="9"/>
  <c r="E81" i="9"/>
  <c r="E80" i="9"/>
  <c r="E79" i="9"/>
  <c r="E78" i="9"/>
  <c r="E77" i="9"/>
  <c r="E76" i="9"/>
  <c r="E72" i="9"/>
  <c r="E71" i="9"/>
  <c r="E70" i="9"/>
  <c r="E69" i="9"/>
  <c r="E68" i="9"/>
  <c r="E67" i="9"/>
  <c r="E66" i="9"/>
  <c r="E65" i="9"/>
  <c r="E64" i="9"/>
  <c r="E63" i="9"/>
  <c r="E62" i="9"/>
  <c r="E61" i="9"/>
  <c r="E60" i="9"/>
  <c r="E51" i="9"/>
  <c r="E50" i="9"/>
  <c r="E49" i="9"/>
  <c r="E48" i="9"/>
  <c r="E47" i="9"/>
  <c r="E46" i="9"/>
  <c r="E45" i="9"/>
  <c r="E44" i="9"/>
  <c r="E43" i="9"/>
  <c r="E42" i="9"/>
  <c r="E41" i="9"/>
  <c r="E40" i="9"/>
  <c r="E39" i="9"/>
  <c r="E35" i="9"/>
  <c r="E34" i="9"/>
  <c r="E33" i="9"/>
  <c r="E32" i="9"/>
  <c r="E31" i="9"/>
  <c r="E30" i="9"/>
  <c r="E29" i="9"/>
  <c r="E28" i="9"/>
  <c r="E27" i="9"/>
  <c r="E26" i="9"/>
  <c r="E25" i="9"/>
  <c r="E24" i="9"/>
  <c r="E23" i="9"/>
  <c r="E19" i="9"/>
  <c r="E18" i="9"/>
  <c r="E17" i="9"/>
  <c r="E16" i="9"/>
  <c r="E15" i="9"/>
  <c r="E14" i="9"/>
  <c r="E13" i="9"/>
  <c r="E12" i="9"/>
  <c r="E11" i="9"/>
  <c r="E10" i="9"/>
  <c r="E9" i="9"/>
  <c r="C183" i="29"/>
  <c r="G107" i="29"/>
  <c r="I104" i="29"/>
  <c r="E119" i="3" s="1"/>
  <c r="J119" i="3" s="1"/>
  <c r="E65" i="29"/>
  <c r="I51" i="29"/>
  <c r="C51" i="29"/>
  <c r="A49" i="29" s="1"/>
  <c r="C212" i="3"/>
  <c r="A3" i="27"/>
  <c r="C35" i="3"/>
  <c r="D120" i="3"/>
  <c r="D119" i="3"/>
  <c r="A9" i="25"/>
  <c r="A12" i="25" s="1"/>
  <c r="A13" i="25" s="1"/>
  <c r="A14" i="25" s="1"/>
  <c r="A15" i="25" s="1"/>
  <c r="B16" i="23"/>
  <c r="D93" i="23"/>
  <c r="D96" i="23" s="1"/>
  <c r="C93" i="23"/>
  <c r="C96" i="23" s="1"/>
  <c r="D64" i="23"/>
  <c r="D67" i="23" s="1"/>
  <c r="C64" i="23"/>
  <c r="C67" i="23" s="1"/>
  <c r="D36" i="23"/>
  <c r="D39" i="23" s="1"/>
  <c r="C36" i="23"/>
  <c r="C39" i="23" s="1"/>
  <c r="B1" i="23"/>
  <c r="B47" i="23" s="1"/>
  <c r="B75" i="23" s="1"/>
  <c r="B1" i="22"/>
  <c r="B47" i="22" s="1"/>
  <c r="B75" i="22" s="1"/>
  <c r="D93" i="22"/>
  <c r="D96" i="22" s="1"/>
  <c r="D64" i="22"/>
  <c r="D67" i="22" s="1"/>
  <c r="C64" i="22"/>
  <c r="C67" i="22" s="1"/>
  <c r="D36" i="22"/>
  <c r="D39" i="22" s="1"/>
  <c r="C36" i="22"/>
  <c r="C39" i="22" s="1"/>
  <c r="B34" i="5"/>
  <c r="C45" i="5"/>
  <c r="D6" i="5" s="1"/>
  <c r="C198" i="3"/>
  <c r="A2" i="9"/>
  <c r="A2" i="5"/>
  <c r="F4" i="25" s="1"/>
  <c r="M50" i="3"/>
  <c r="M108" i="3" s="1"/>
  <c r="M179" i="3" s="1"/>
  <c r="M222" i="3" s="1"/>
  <c r="G116" i="3"/>
  <c r="G117" i="3" s="1"/>
  <c r="G121" i="3" s="1"/>
  <c r="E51" i="3"/>
  <c r="E109" i="3" s="1"/>
  <c r="G20" i="17"/>
  <c r="G21" i="17" s="1"/>
  <c r="G22" i="17" s="1"/>
  <c r="G23" i="17" s="1"/>
  <c r="G24" i="17" s="1"/>
  <c r="G25" i="17" s="1"/>
  <c r="G26" i="17" s="1"/>
  <c r="G27" i="17" s="1"/>
  <c r="G28" i="17" s="1"/>
  <c r="G29" i="17" s="1"/>
  <c r="G30" i="17" s="1"/>
  <c r="G31" i="17" s="1"/>
  <c r="H21" i="17"/>
  <c r="H22" i="17" s="1"/>
  <c r="H23" i="17" s="1"/>
  <c r="H24" i="17" s="1"/>
  <c r="H25" i="17" s="1"/>
  <c r="H26" i="17" s="1"/>
  <c r="H27" i="17" s="1"/>
  <c r="H28" i="17" s="1"/>
  <c r="H29" i="17" s="1"/>
  <c r="H30" i="17" s="1"/>
  <c r="H31" i="17" s="1"/>
  <c r="C39" i="17"/>
  <c r="C40" i="17" s="1"/>
  <c r="C41" i="17" s="1"/>
  <c r="C42" i="17" s="1"/>
  <c r="C43" i="17" s="1"/>
  <c r="C44" i="17" s="1"/>
  <c r="C45" i="17" s="1"/>
  <c r="C46" i="17" s="1"/>
  <c r="C47" i="17" s="1"/>
  <c r="C48" i="17" s="1"/>
  <c r="C49" i="17" s="1"/>
  <c r="A9" i="5"/>
  <c r="A12" i="5"/>
  <c r="A13" i="5" s="1"/>
  <c r="A15" i="5" s="1"/>
  <c r="D35" i="3" s="1"/>
  <c r="G35" i="3"/>
  <c r="G63" i="3"/>
  <c r="G81" i="3" s="1"/>
  <c r="G85" i="3" s="1"/>
  <c r="G64" i="3"/>
  <c r="C72" i="3"/>
  <c r="A2" i="29" s="1"/>
  <c r="G77" i="3"/>
  <c r="G76" i="3"/>
  <c r="C83" i="3"/>
  <c r="C85" i="3"/>
  <c r="C86" i="3"/>
  <c r="C125" i="3"/>
  <c r="C130" i="3"/>
  <c r="G133" i="3"/>
  <c r="G137" i="3"/>
  <c r="E138" i="3"/>
  <c r="D140" i="3"/>
  <c r="C144" i="3"/>
  <c r="E180" i="3"/>
  <c r="C187" i="3"/>
  <c r="E223" i="3"/>
  <c r="C234" i="3"/>
  <c r="C93" i="22"/>
  <c r="C96" i="22" s="1"/>
  <c r="F96" i="22"/>
  <c r="E10" i="22" s="1"/>
  <c r="F67" i="22"/>
  <c r="E9" i="22" s="1"/>
  <c r="F67" i="23"/>
  <c r="E9" i="23" s="1"/>
  <c r="C28" i="5"/>
  <c r="C32" i="5" s="1"/>
  <c r="C34" i="5" s="1"/>
  <c r="E63" i="3"/>
  <c r="H32" i="29"/>
  <c r="H33" i="29"/>
  <c r="H34" i="29"/>
  <c r="H35" i="29"/>
  <c r="H36" i="29"/>
  <c r="H37" i="29"/>
  <c r="H38" i="29"/>
  <c r="H39" i="29"/>
  <c r="H40" i="29"/>
  <c r="H41" i="29"/>
  <c r="H42" i="29"/>
  <c r="G43" i="29"/>
  <c r="E75" i="3" s="1"/>
  <c r="J75" i="3"/>
  <c r="H209" i="3" s="1"/>
  <c r="C43" i="40"/>
  <c r="C44" i="40" s="1"/>
  <c r="D43" i="40"/>
  <c r="C45" i="40" s="1"/>
  <c r="J25" i="38" l="1"/>
  <c r="F107" i="9"/>
  <c r="G25" i="38"/>
  <c r="K25" i="38"/>
  <c r="O25" i="38"/>
  <c r="AJ10" i="45"/>
  <c r="AJ15" i="45"/>
  <c r="F12" i="22"/>
  <c r="G120" i="3"/>
  <c r="C47" i="40"/>
  <c r="E59" i="3"/>
  <c r="E69" i="3" s="1"/>
  <c r="AJ13" i="45"/>
  <c r="AJ14" i="45"/>
  <c r="Y32" i="47"/>
  <c r="L8" i="45"/>
  <c r="P8" i="45" s="1"/>
  <c r="E65" i="3"/>
  <c r="I25" i="38"/>
  <c r="M25" i="38"/>
  <c r="H25" i="38"/>
  <c r="D25" i="38"/>
  <c r="F32" i="30"/>
  <c r="F33" i="30" s="1"/>
  <c r="F73" i="32"/>
  <c r="I74" i="32" s="1"/>
  <c r="F63" i="32"/>
  <c r="I64" i="32" s="1"/>
  <c r="Q23" i="38"/>
  <c r="E202" i="3" s="1"/>
  <c r="D14" i="25" s="1"/>
  <c r="AJ16" i="45"/>
  <c r="E17" i="48"/>
  <c r="E12" i="22"/>
  <c r="H65" i="29"/>
  <c r="E76" i="3" s="1"/>
  <c r="L25" i="38"/>
  <c r="F25" i="38"/>
  <c r="N25" i="38"/>
  <c r="D52" i="40"/>
  <c r="D55" i="40" s="1"/>
  <c r="D13" i="5" s="1"/>
  <c r="D15" i="5" s="1"/>
  <c r="E35" i="3" s="1"/>
  <c r="F54" i="9"/>
  <c r="H118" i="3"/>
  <c r="C15" i="5"/>
  <c r="F15" i="22"/>
  <c r="F16" i="23" s="1"/>
  <c r="A16" i="25"/>
  <c r="A18" i="25" s="1"/>
  <c r="A19" i="25" s="1"/>
  <c r="B21" i="25"/>
  <c r="J185" i="3"/>
  <c r="E68" i="3"/>
  <c r="E70" i="3" s="1"/>
  <c r="E60" i="3"/>
  <c r="D12" i="23"/>
  <c r="D15" i="23" s="1"/>
  <c r="A20" i="9"/>
  <c r="D20" i="9"/>
  <c r="E145" i="3"/>
  <c r="E149" i="3" s="1"/>
  <c r="D19" i="25"/>
  <c r="D23" i="25" s="1"/>
  <c r="D27" i="25" s="1"/>
  <c r="H43" i="29"/>
  <c r="G73" i="3"/>
  <c r="E12" i="23"/>
  <c r="A38" i="3"/>
  <c r="A58" i="3" s="1"/>
  <c r="D38" i="3"/>
  <c r="J76" i="3"/>
  <c r="H56" i="30"/>
  <c r="H57" i="30" s="1"/>
  <c r="H58" i="30" s="1"/>
  <c r="H59" i="30" s="1"/>
  <c r="H60" i="30" s="1"/>
  <c r="H61" i="30" s="1"/>
  <c r="H62" i="30" s="1"/>
  <c r="H63" i="30" s="1"/>
  <c r="H64" i="30" s="1"/>
  <c r="H65" i="30" s="1"/>
  <c r="H66" i="30" s="1"/>
  <c r="H67" i="30" s="1"/>
  <c r="H98" i="30"/>
  <c r="H99" i="30" s="1"/>
  <c r="H105" i="30" s="1"/>
  <c r="H106" i="30" s="1"/>
  <c r="H107" i="30" s="1"/>
  <c r="H108" i="30" s="1"/>
  <c r="H109" i="30" s="1"/>
  <c r="H110" i="30" s="1"/>
  <c r="H111" i="30" s="1"/>
  <c r="H112" i="30" s="1"/>
  <c r="H113" i="30" s="1"/>
  <c r="H114" i="30" s="1"/>
  <c r="H115" i="30" s="1"/>
  <c r="H116" i="30" s="1"/>
  <c r="F54" i="32"/>
  <c r="F57" i="32"/>
  <c r="I58" i="32" s="1"/>
  <c r="F59" i="32"/>
  <c r="I60" i="32" s="1"/>
  <c r="J54" i="32"/>
  <c r="F55" i="32"/>
  <c r="F72" i="32"/>
  <c r="I73" i="32" s="1"/>
  <c r="F65" i="32"/>
  <c r="I66" i="32" s="1"/>
  <c r="F64" i="32"/>
  <c r="I65" i="32" s="1"/>
  <c r="F58" i="32"/>
  <c r="I59" i="32" s="1"/>
  <c r="H59" i="3"/>
  <c r="J59" i="3" s="1"/>
  <c r="H64" i="3"/>
  <c r="J64" i="3" s="1"/>
  <c r="F13" i="23"/>
  <c r="H126" i="3"/>
  <c r="J126" i="3" s="1"/>
  <c r="H133" i="3"/>
  <c r="J133" i="3" s="1"/>
  <c r="H132" i="3"/>
  <c r="J132" i="3" s="1"/>
  <c r="J127" i="3"/>
  <c r="E128" i="3"/>
  <c r="H133" i="29"/>
  <c r="E85" i="3" s="1"/>
  <c r="F12" i="23"/>
  <c r="D12" i="22"/>
  <c r="D15" i="22" s="1"/>
  <c r="F70" i="32"/>
  <c r="I71" i="32" s="1"/>
  <c r="Q15" i="38"/>
  <c r="M54" i="43"/>
  <c r="E143" i="29"/>
  <c r="H143" i="29" s="1"/>
  <c r="E77" i="3" s="1"/>
  <c r="J77" i="3" s="1"/>
  <c r="I25" i="42"/>
  <c r="E118" i="3" s="1"/>
  <c r="I63" i="41"/>
  <c r="I46" i="42"/>
  <c r="G26" i="43"/>
  <c r="W10" i="46"/>
  <c r="W32" i="46" s="1"/>
  <c r="Q32" i="46"/>
  <c r="L7" i="45"/>
  <c r="P7" i="45" s="1"/>
  <c r="E183" i="29"/>
  <c r="E121" i="3" s="1"/>
  <c r="G38" i="17"/>
  <c r="G39" i="17" s="1"/>
  <c r="G40" i="17" s="1"/>
  <c r="G41" i="17" s="1"/>
  <c r="G42" i="17" s="1"/>
  <c r="G43" i="17" s="1"/>
  <c r="G44" i="17" s="1"/>
  <c r="G45" i="17" s="1"/>
  <c r="G46" i="17" s="1"/>
  <c r="G47" i="17" s="1"/>
  <c r="G48" i="17" s="1"/>
  <c r="G49" i="17" s="1"/>
  <c r="G35" i="17"/>
  <c r="G43" i="32"/>
  <c r="H43" i="32" s="1"/>
  <c r="I43" i="32" s="1"/>
  <c r="G59" i="32"/>
  <c r="J59" i="32" s="1"/>
  <c r="J6" i="27"/>
  <c r="H140" i="29"/>
  <c r="L128" i="30"/>
  <c r="P128" i="30" s="1"/>
  <c r="F129" i="30"/>
  <c r="F130" i="30" s="1"/>
  <c r="L130" i="30" s="1"/>
  <c r="P130" i="30" s="1"/>
  <c r="N164" i="30"/>
  <c r="F82" i="30"/>
  <c r="F83" i="30" s="1"/>
  <c r="L33" i="30"/>
  <c r="P33" i="30" s="1"/>
  <c r="F34" i="30"/>
  <c r="L127" i="30"/>
  <c r="L32" i="30"/>
  <c r="D82" i="30"/>
  <c r="D83" i="30" s="1"/>
  <c r="D84" i="30" s="1"/>
  <c r="D85" i="30" s="1"/>
  <c r="D86" i="30" s="1"/>
  <c r="D87" i="30" s="1"/>
  <c r="D88" i="30" s="1"/>
  <c r="D89" i="30" s="1"/>
  <c r="D90" i="30" s="1"/>
  <c r="D91" i="30" s="1"/>
  <c r="D92" i="30" s="1"/>
  <c r="D93" i="30" s="1"/>
  <c r="D98" i="30" s="1"/>
  <c r="D49" i="30"/>
  <c r="D50" i="30" s="1"/>
  <c r="D56" i="30" s="1"/>
  <c r="D57" i="30" s="1"/>
  <c r="D58" i="30" s="1"/>
  <c r="D59" i="30" s="1"/>
  <c r="D60" i="30" s="1"/>
  <c r="D61" i="30" s="1"/>
  <c r="D62" i="30" s="1"/>
  <c r="D63" i="30" s="1"/>
  <c r="D64" i="30" s="1"/>
  <c r="D65" i="30" s="1"/>
  <c r="D66" i="30" s="1"/>
  <c r="D67" i="30" s="1"/>
  <c r="F61" i="32"/>
  <c r="F71" i="32"/>
  <c r="F60" i="32"/>
  <c r="F67" i="32"/>
  <c r="F68" i="32"/>
  <c r="F66" i="32"/>
  <c r="F62" i="32"/>
  <c r="I63" i="32" s="1"/>
  <c r="F69" i="32"/>
  <c r="F74" i="32"/>
  <c r="P17" i="45" l="1"/>
  <c r="G64" i="32"/>
  <c r="J118" i="3"/>
  <c r="L129" i="30"/>
  <c r="P129" i="30" s="1"/>
  <c r="F15" i="23"/>
  <c r="G63" i="32"/>
  <c r="J63" i="32" s="1"/>
  <c r="F131" i="30"/>
  <c r="F132" i="30" s="1"/>
  <c r="F17" i="23"/>
  <c r="G12" i="25"/>
  <c r="I12" i="25" s="1"/>
  <c r="J200" i="3"/>
  <c r="I9" i="41"/>
  <c r="I33" i="41" s="1"/>
  <c r="E116" i="3" s="1"/>
  <c r="E122" i="3" s="1"/>
  <c r="E84" i="3" s="1"/>
  <c r="E87" i="3" s="1"/>
  <c r="E33" i="41"/>
  <c r="A22" i="9"/>
  <c r="A23" i="9" s="1"/>
  <c r="J188" i="3"/>
  <c r="J190" i="3"/>
  <c r="D16" i="23"/>
  <c r="D17" i="23" s="1"/>
  <c r="C185" i="3"/>
  <c r="A59" i="3"/>
  <c r="P36" i="38"/>
  <c r="Q25" i="38"/>
  <c r="E200" i="3"/>
  <c r="J69" i="3"/>
  <c r="B23" i="25"/>
  <c r="A20" i="25"/>
  <c r="G58" i="32"/>
  <c r="J58" i="32" s="1"/>
  <c r="G60" i="32"/>
  <c r="J60" i="32" s="1"/>
  <c r="G71" i="32"/>
  <c r="J71" i="32" s="1"/>
  <c r="G74" i="32"/>
  <c r="J74" i="32" s="1"/>
  <c r="G66" i="32"/>
  <c r="J66" i="32" s="1"/>
  <c r="G55" i="32"/>
  <c r="J55" i="32" s="1"/>
  <c r="G65" i="32"/>
  <c r="J65" i="32" s="1"/>
  <c r="G73" i="32"/>
  <c r="J73" i="32" s="1"/>
  <c r="G57" i="32"/>
  <c r="J57" i="32" s="1"/>
  <c r="G56" i="32"/>
  <c r="J56" i="32" s="1"/>
  <c r="H211" i="3"/>
  <c r="F84" i="30"/>
  <c r="L83" i="30"/>
  <c r="P83" i="30" s="1"/>
  <c r="L82" i="30"/>
  <c r="P82" i="30" s="1"/>
  <c r="L34" i="30"/>
  <c r="P34" i="30" s="1"/>
  <c r="F35" i="30"/>
  <c r="P32" i="30"/>
  <c r="P127" i="30"/>
  <c r="D127" i="30"/>
  <c r="D128" i="30" s="1"/>
  <c r="D129" i="30" s="1"/>
  <c r="D130" i="30" s="1"/>
  <c r="D131" i="30" s="1"/>
  <c r="D132" i="30" s="1"/>
  <c r="D133" i="30" s="1"/>
  <c r="D134" i="30" s="1"/>
  <c r="D135" i="30" s="1"/>
  <c r="D136" i="30" s="1"/>
  <c r="D137" i="30" s="1"/>
  <c r="D138" i="30" s="1"/>
  <c r="D143" i="30" s="1"/>
  <c r="D149" i="30" s="1"/>
  <c r="D150" i="30" s="1"/>
  <c r="D151" i="30" s="1"/>
  <c r="D152" i="30" s="1"/>
  <c r="D153" i="30" s="1"/>
  <c r="D154" i="30" s="1"/>
  <c r="D155" i="30" s="1"/>
  <c r="D156" i="30" s="1"/>
  <c r="D157" i="30" s="1"/>
  <c r="D158" i="30" s="1"/>
  <c r="D159" i="30" s="1"/>
  <c r="D160" i="30" s="1"/>
  <c r="D99" i="30"/>
  <c r="D105" i="30" s="1"/>
  <c r="D106" i="30" s="1"/>
  <c r="D107" i="30" s="1"/>
  <c r="D108" i="30" s="1"/>
  <c r="D109" i="30" s="1"/>
  <c r="D110" i="30" s="1"/>
  <c r="D111" i="30" s="1"/>
  <c r="D112" i="30" s="1"/>
  <c r="D113" i="30" s="1"/>
  <c r="D114" i="30" s="1"/>
  <c r="D115" i="30" s="1"/>
  <c r="D116" i="30" s="1"/>
  <c r="I62" i="32"/>
  <c r="G62" i="32"/>
  <c r="I67" i="32"/>
  <c r="G67" i="32"/>
  <c r="G68" i="32"/>
  <c r="I68" i="32"/>
  <c r="G69" i="32"/>
  <c r="I69" i="32"/>
  <c r="I61" i="32"/>
  <c r="G61" i="32"/>
  <c r="G70" i="32"/>
  <c r="I70" i="32"/>
  <c r="G72" i="32"/>
  <c r="I72" i="32"/>
  <c r="J64" i="32"/>
  <c r="AD8" i="45" l="1"/>
  <c r="AJ8" i="45" s="1"/>
  <c r="L131" i="30"/>
  <c r="P131" i="30" s="1"/>
  <c r="AD7" i="45"/>
  <c r="AJ7" i="45" s="1"/>
  <c r="D12" i="25"/>
  <c r="D15" i="25" s="1"/>
  <c r="E203" i="3"/>
  <c r="F201" i="3" s="1"/>
  <c r="A60" i="3"/>
  <c r="A62" i="3" s="1"/>
  <c r="A63" i="3" s="1"/>
  <c r="B26" i="25"/>
  <c r="A21" i="25"/>
  <c r="A22" i="25" s="1"/>
  <c r="A23" i="25" s="1"/>
  <c r="A24" i="9"/>
  <c r="A25" i="9" s="1"/>
  <c r="A26" i="9" s="1"/>
  <c r="A27" i="9" s="1"/>
  <c r="A28" i="9" s="1"/>
  <c r="A29" i="9" s="1"/>
  <c r="A30" i="9" s="1"/>
  <c r="A31" i="9" s="1"/>
  <c r="A32" i="9" s="1"/>
  <c r="A33" i="9" s="1"/>
  <c r="A34" i="9" s="1"/>
  <c r="A35" i="9" s="1"/>
  <c r="A36" i="9" s="1"/>
  <c r="F194" i="3"/>
  <c r="H194" i="3" s="1"/>
  <c r="H196" i="3" s="1"/>
  <c r="H58" i="3"/>
  <c r="H81" i="3"/>
  <c r="H63" i="3"/>
  <c r="J63" i="3" s="1"/>
  <c r="J65" i="3" s="1"/>
  <c r="H116" i="3"/>
  <c r="J116" i="3" s="1"/>
  <c r="H125" i="3"/>
  <c r="J125" i="3" s="1"/>
  <c r="J128" i="3" s="1"/>
  <c r="C60" i="3"/>
  <c r="J68" i="32"/>
  <c r="J72" i="32"/>
  <c r="F85" i="30"/>
  <c r="L84" i="30"/>
  <c r="P84" i="30" s="1"/>
  <c r="L35" i="30"/>
  <c r="P35" i="30" s="1"/>
  <c r="F36" i="30"/>
  <c r="L132" i="30"/>
  <c r="F133" i="30"/>
  <c r="J61" i="32"/>
  <c r="J62" i="32"/>
  <c r="J67" i="32"/>
  <c r="J70" i="32"/>
  <c r="J69" i="32"/>
  <c r="AJ17" i="45" l="1"/>
  <c r="D36" i="9"/>
  <c r="A24" i="25"/>
  <c r="A25" i="25" s="1"/>
  <c r="A26" i="25" s="1"/>
  <c r="J81" i="3"/>
  <c r="H73" i="3"/>
  <c r="H85" i="3"/>
  <c r="J85" i="3" s="1"/>
  <c r="A38" i="9"/>
  <c r="A39" i="9" s="1"/>
  <c r="J201" i="3"/>
  <c r="J203" i="3" s="1"/>
  <c r="E142" i="3" s="1"/>
  <c r="E13" i="25"/>
  <c r="I13" i="25" s="1"/>
  <c r="I15" i="25" s="1"/>
  <c r="D20" i="25" s="1"/>
  <c r="A64" i="3"/>
  <c r="C65" i="3" s="1"/>
  <c r="D68" i="3"/>
  <c r="J58" i="3"/>
  <c r="H35" i="3"/>
  <c r="J35" i="3" s="1"/>
  <c r="H120" i="3"/>
  <c r="J120" i="3" s="1"/>
  <c r="H117" i="3"/>
  <c r="J117" i="3" s="1"/>
  <c r="H121" i="3"/>
  <c r="J121" i="3" s="1"/>
  <c r="F17" i="32"/>
  <c r="L85" i="30"/>
  <c r="P85" i="30" s="1"/>
  <c r="F86" i="30"/>
  <c r="F134" i="30"/>
  <c r="L133" i="30"/>
  <c r="P133" i="30" s="1"/>
  <c r="F37" i="30"/>
  <c r="L36" i="30"/>
  <c r="P132" i="30"/>
  <c r="A65" i="3" l="1"/>
  <c r="A67" i="3" s="1"/>
  <c r="A68" i="3" s="1"/>
  <c r="D69" i="3"/>
  <c r="A40" i="9"/>
  <c r="A41" i="9" s="1"/>
  <c r="A42" i="9" s="1"/>
  <c r="A43" i="9" s="1"/>
  <c r="A44" i="9" s="1"/>
  <c r="A45" i="9" s="1"/>
  <c r="A46" i="9" s="1"/>
  <c r="A47" i="9" s="1"/>
  <c r="A48" i="9" s="1"/>
  <c r="A49" i="9" s="1"/>
  <c r="A50" i="9" s="1"/>
  <c r="A51" i="9" s="1"/>
  <c r="A52" i="9" s="1"/>
  <c r="A27" i="25"/>
  <c r="A28" i="25" s="1"/>
  <c r="A31" i="25" s="1"/>
  <c r="A33" i="25" s="1"/>
  <c r="A34" i="25" s="1"/>
  <c r="A35" i="25" s="1"/>
  <c r="A36" i="25" s="1"/>
  <c r="A37" i="25" s="1"/>
  <c r="A38" i="25" s="1"/>
  <c r="J122" i="3"/>
  <c r="J84" i="3" s="1"/>
  <c r="J60" i="3"/>
  <c r="H60" i="3" s="1"/>
  <c r="J68" i="3"/>
  <c r="B27" i="25"/>
  <c r="F87" i="30"/>
  <c r="L86" i="30"/>
  <c r="F135" i="30"/>
  <c r="L134" i="30"/>
  <c r="P36" i="30"/>
  <c r="F38" i="30"/>
  <c r="L37" i="30"/>
  <c r="P37" i="30" s="1"/>
  <c r="C28" i="25" l="1"/>
  <c r="J70" i="3"/>
  <c r="H70" i="3" s="1"/>
  <c r="H208" i="3"/>
  <c r="H212" i="3" s="1"/>
  <c r="A54" i="9"/>
  <c r="A59" i="9" s="1"/>
  <c r="A60" i="9" s="1"/>
  <c r="D54" i="9"/>
  <c r="A69" i="3"/>
  <c r="A70" i="3" s="1"/>
  <c r="D208" i="3"/>
  <c r="H135" i="3"/>
  <c r="J135" i="3" s="1"/>
  <c r="H86" i="3"/>
  <c r="J86" i="3" s="1"/>
  <c r="J87" i="3" s="1"/>
  <c r="H137" i="3"/>
  <c r="J137" i="3" s="1"/>
  <c r="D52" i="9"/>
  <c r="P86" i="30"/>
  <c r="F88" i="30"/>
  <c r="L87" i="30"/>
  <c r="P87" i="30" s="1"/>
  <c r="F39" i="30"/>
  <c r="L38" i="30"/>
  <c r="F136" i="30"/>
  <c r="L135" i="30"/>
  <c r="P135" i="30" s="1"/>
  <c r="P134" i="30"/>
  <c r="J8" i="27" l="1"/>
  <c r="J37" i="25"/>
  <c r="C70" i="3"/>
  <c r="D73" i="9"/>
  <c r="A61" i="9"/>
  <c r="A62" i="9" s="1"/>
  <c r="A63" i="9" s="1"/>
  <c r="A64" i="9" s="1"/>
  <c r="A65" i="9" s="1"/>
  <c r="A66" i="9" s="1"/>
  <c r="A67" i="9" s="1"/>
  <c r="A68" i="9" s="1"/>
  <c r="A69" i="9" s="1"/>
  <c r="A70" i="9" s="1"/>
  <c r="A71" i="9" s="1"/>
  <c r="A72" i="9" s="1"/>
  <c r="A73" i="9" s="1"/>
  <c r="A72" i="3"/>
  <c r="A73" i="3" s="1"/>
  <c r="J138" i="3"/>
  <c r="E14" i="22"/>
  <c r="H74" i="3"/>
  <c r="J74" i="3" s="1"/>
  <c r="G27" i="25"/>
  <c r="I27" i="25" s="1"/>
  <c r="H149" i="3"/>
  <c r="J149" i="3" s="1"/>
  <c r="F89" i="30"/>
  <c r="L88" i="30"/>
  <c r="F137" i="30"/>
  <c r="L136" i="30"/>
  <c r="P136" i="30" s="1"/>
  <c r="P38" i="30"/>
  <c r="L39" i="30"/>
  <c r="P39" i="30" s="1"/>
  <c r="F40" i="30"/>
  <c r="H17" i="23" l="1"/>
  <c r="A74" i="3"/>
  <c r="A75" i="3" s="1"/>
  <c r="E14" i="23"/>
  <c r="E15" i="23" s="1"/>
  <c r="E15" i="22"/>
  <c r="A75" i="9"/>
  <c r="A76" i="9" s="1"/>
  <c r="P88" i="30"/>
  <c r="F90" i="30"/>
  <c r="L89" i="30"/>
  <c r="P89" i="30" s="1"/>
  <c r="L137" i="30"/>
  <c r="F138" i="30"/>
  <c r="L138" i="30" s="1"/>
  <c r="P138" i="30" s="1"/>
  <c r="F41" i="30"/>
  <c r="L40" i="30"/>
  <c r="A77" i="9" l="1"/>
  <c r="A78" i="9" s="1"/>
  <c r="A79" i="9" s="1"/>
  <c r="A80" i="9" s="1"/>
  <c r="A81" i="9" s="1"/>
  <c r="A82" i="9" s="1"/>
  <c r="A83" i="9" s="1"/>
  <c r="A84" i="9" s="1"/>
  <c r="A85" i="9" s="1"/>
  <c r="A86" i="9" s="1"/>
  <c r="A87" i="9" s="1"/>
  <c r="A88" i="9" s="1"/>
  <c r="A89" i="9" s="1"/>
  <c r="G15" i="23"/>
  <c r="A76" i="3"/>
  <c r="A77" i="3" s="1"/>
  <c r="D209" i="3"/>
  <c r="E16" i="23"/>
  <c r="G16" i="23" s="1"/>
  <c r="G15" i="22"/>
  <c r="F91" i="30"/>
  <c r="L90" i="30"/>
  <c r="P40" i="30"/>
  <c r="F42" i="30"/>
  <c r="L41" i="30"/>
  <c r="P41" i="30" s="1"/>
  <c r="P137" i="30"/>
  <c r="P139" i="30" s="1"/>
  <c r="F143" i="30" s="1"/>
  <c r="L139" i="30"/>
  <c r="D89" i="9" l="1"/>
  <c r="E17" i="23"/>
  <c r="G17" i="23" s="1"/>
  <c r="E73" i="3" s="1"/>
  <c r="A78" i="3"/>
  <c r="D211" i="3"/>
  <c r="A91" i="9"/>
  <c r="A92" i="9" s="1"/>
  <c r="P90" i="30"/>
  <c r="L91" i="30"/>
  <c r="P91" i="30" s="1"/>
  <c r="F92" i="30"/>
  <c r="L143" i="30"/>
  <c r="P143" i="30" s="1"/>
  <c r="F43" i="30"/>
  <c r="L43" i="30" s="1"/>
  <c r="L42" i="30"/>
  <c r="P42" i="30" s="1"/>
  <c r="D210" i="3" l="1"/>
  <c r="A79" i="3"/>
  <c r="C79" i="3"/>
  <c r="A93" i="9"/>
  <c r="A94" i="9" s="1"/>
  <c r="A95" i="9" s="1"/>
  <c r="A96" i="9" s="1"/>
  <c r="A97" i="9" s="1"/>
  <c r="A98" i="9" s="1"/>
  <c r="A99" i="9" s="1"/>
  <c r="A100" i="9" s="1"/>
  <c r="A101" i="9" s="1"/>
  <c r="A102" i="9" s="1"/>
  <c r="A103" i="9" s="1"/>
  <c r="A104" i="9" s="1"/>
  <c r="A105" i="9" s="1"/>
  <c r="E79" i="3"/>
  <c r="E89" i="3" s="1"/>
  <c r="E153" i="3" s="1"/>
  <c r="J73" i="3"/>
  <c r="J79" i="3" s="1"/>
  <c r="J89" i="3" s="1"/>
  <c r="F93" i="30"/>
  <c r="L93" i="30" s="1"/>
  <c r="P93" i="30" s="1"/>
  <c r="L92" i="30"/>
  <c r="P92" i="30" s="1"/>
  <c r="F149" i="30"/>
  <c r="N149" i="30"/>
  <c r="P43" i="30"/>
  <c r="P44" i="30" s="1"/>
  <c r="F48" i="30" s="1"/>
  <c r="L44" i="30"/>
  <c r="E148" i="3" l="1"/>
  <c r="E150" i="3" s="1"/>
  <c r="E155" i="3" s="1"/>
  <c r="A107" i="9"/>
  <c r="A5" i="29" s="1"/>
  <c r="A7" i="29" s="1"/>
  <c r="A9" i="29" s="1"/>
  <c r="A11" i="29" s="1"/>
  <c r="A13" i="29" s="1"/>
  <c r="D107" i="9"/>
  <c r="J7" i="25"/>
  <c r="J16" i="25" s="1"/>
  <c r="J153" i="3"/>
  <c r="A81" i="3"/>
  <c r="A83" i="3" s="1"/>
  <c r="A84" i="3" s="1"/>
  <c r="D105" i="9"/>
  <c r="L94" i="30"/>
  <c r="P94" i="30"/>
  <c r="F98" i="30" s="1"/>
  <c r="L48" i="30"/>
  <c r="P48" i="30"/>
  <c r="F49" i="30" s="1"/>
  <c r="N150" i="30"/>
  <c r="N151" i="30" s="1"/>
  <c r="N152" i="30" s="1"/>
  <c r="N153" i="30" s="1"/>
  <c r="N154" i="30" s="1"/>
  <c r="N155" i="30" s="1"/>
  <c r="N156" i="30" s="1"/>
  <c r="N157" i="30" s="1"/>
  <c r="N158" i="30" s="1"/>
  <c r="N159" i="30" s="1"/>
  <c r="N160" i="30" s="1"/>
  <c r="P149" i="30"/>
  <c r="F150" i="30" s="1"/>
  <c r="L149" i="30"/>
  <c r="D26" i="25" l="1"/>
  <c r="D28" i="25" s="1"/>
  <c r="I26" i="25"/>
  <c r="J28" i="25" s="1"/>
  <c r="J31" i="25" s="1"/>
  <c r="J148" i="3"/>
  <c r="J150" i="3" s="1"/>
  <c r="J33" i="25"/>
  <c r="A85" i="3"/>
  <c r="A86" i="3" s="1"/>
  <c r="A87" i="3" s="1"/>
  <c r="A14" i="29"/>
  <c r="A15" i="29" s="1"/>
  <c r="A16" i="29" s="1"/>
  <c r="A17" i="29" s="1"/>
  <c r="A18" i="29" s="1"/>
  <c r="A19" i="29" s="1"/>
  <c r="A20" i="29" s="1"/>
  <c r="A21" i="29" s="1"/>
  <c r="A22" i="29" s="1"/>
  <c r="A23" i="29" s="1"/>
  <c r="A24" i="29" s="1"/>
  <c r="A25" i="29" s="1"/>
  <c r="A26" i="29" s="1"/>
  <c r="A29" i="29" s="1"/>
  <c r="A30" i="29" s="1"/>
  <c r="N163" i="30"/>
  <c r="P12" i="30" s="1"/>
  <c r="L98" i="30"/>
  <c r="P98" i="30" s="1"/>
  <c r="F99" i="30" s="1"/>
  <c r="L150" i="30"/>
  <c r="P150" i="30"/>
  <c r="F151" i="30" s="1"/>
  <c r="L49" i="30"/>
  <c r="P49" i="30"/>
  <c r="F50" i="30" s="1"/>
  <c r="N165" i="30" l="1"/>
  <c r="A31" i="29"/>
  <c r="A32" i="29" s="1"/>
  <c r="A33" i="29" s="1"/>
  <c r="A34" i="29" s="1"/>
  <c r="A35" i="29" s="1"/>
  <c r="A36" i="29" s="1"/>
  <c r="A37" i="29" s="1"/>
  <c r="A38" i="29" s="1"/>
  <c r="A39" i="29" s="1"/>
  <c r="A40" i="29" s="1"/>
  <c r="A41" i="29" s="1"/>
  <c r="A42" i="29" s="1"/>
  <c r="A43" i="29" s="1"/>
  <c r="A51" i="29" s="1"/>
  <c r="A58" i="29" s="1"/>
  <c r="A76" i="29" s="1"/>
  <c r="A89" i="29" s="1"/>
  <c r="A98" i="29" s="1"/>
  <c r="A104" i="29" s="1"/>
  <c r="A109" i="29" s="1"/>
  <c r="A119" i="29" s="1"/>
  <c r="A120" i="29" s="1"/>
  <c r="A121" i="29" s="1"/>
  <c r="A122" i="29" s="1"/>
  <c r="A123" i="29" s="1"/>
  <c r="A124" i="29" s="1"/>
  <c r="A125" i="29" s="1"/>
  <c r="A126" i="29" s="1"/>
  <c r="A127" i="29" s="1"/>
  <c r="A128" i="29" s="1"/>
  <c r="A129" i="29" s="1"/>
  <c r="A130" i="29" s="1"/>
  <c r="A131" i="29" s="1"/>
  <c r="A133" i="29" s="1"/>
  <c r="A138" i="29" s="1"/>
  <c r="D26" i="29"/>
  <c r="J155" i="3"/>
  <c r="I47" i="27" s="1"/>
  <c r="J34" i="25"/>
  <c r="J35" i="25" s="1"/>
  <c r="J36" i="25" s="1"/>
  <c r="J38" i="25" s="1"/>
  <c r="J10" i="27" s="1"/>
  <c r="C87" i="3"/>
  <c r="A89" i="3"/>
  <c r="C89" i="3"/>
  <c r="L99" i="30"/>
  <c r="P99" i="30" s="1"/>
  <c r="L50" i="30"/>
  <c r="P50" i="30" s="1"/>
  <c r="L151" i="30"/>
  <c r="P151" i="30"/>
  <c r="F152" i="30" s="1"/>
  <c r="F27" i="27" l="1"/>
  <c r="J27" i="27" s="1"/>
  <c r="K27" i="27" s="1"/>
  <c r="F25" i="27"/>
  <c r="J25" i="27" s="1"/>
  <c r="K25" i="27" s="1"/>
  <c r="F28" i="27"/>
  <c r="J28" i="27" s="1"/>
  <c r="K28" i="27" s="1"/>
  <c r="F26" i="27"/>
  <c r="J26" i="27" s="1"/>
  <c r="K26" i="27" s="1"/>
  <c r="F29" i="27"/>
  <c r="J29" i="27" s="1"/>
  <c r="K29" i="27" s="1"/>
  <c r="A115" i="3"/>
  <c r="A116" i="3" s="1"/>
  <c r="J5" i="27"/>
  <c r="J7" i="27" s="1"/>
  <c r="J9" i="27" s="1"/>
  <c r="D43" i="29"/>
  <c r="A139" i="29"/>
  <c r="A140" i="29" s="1"/>
  <c r="A141" i="29" s="1"/>
  <c r="A142" i="29" s="1"/>
  <c r="A143" i="29" s="1"/>
  <c r="A150" i="29" s="1"/>
  <c r="A153" i="29" s="1"/>
  <c r="A154" i="29" s="1"/>
  <c r="D140" i="29"/>
  <c r="D143" i="29"/>
  <c r="F105" i="30"/>
  <c r="N105" i="30"/>
  <c r="L152" i="30"/>
  <c r="P152" i="30"/>
  <c r="F153" i="30" s="1"/>
  <c r="F56" i="30"/>
  <c r="N56" i="30"/>
  <c r="E23" i="27" l="1"/>
  <c r="E22" i="27"/>
  <c r="E24" i="27"/>
  <c r="E21" i="27"/>
  <c r="D142" i="29"/>
  <c r="A155" i="29"/>
  <c r="A156" i="29" s="1"/>
  <c r="A157" i="29" s="1"/>
  <c r="A158" i="29" s="1"/>
  <c r="A159" i="29" s="1"/>
  <c r="A160" i="29" s="1"/>
  <c r="A117" i="3"/>
  <c r="A118" i="3" s="1"/>
  <c r="A119" i="3" s="1"/>
  <c r="A120" i="3" s="1"/>
  <c r="A121" i="3" s="1"/>
  <c r="A122" i="3" s="1"/>
  <c r="C122" i="3"/>
  <c r="P105" i="30"/>
  <c r="F106" i="30" s="1"/>
  <c r="L105" i="30"/>
  <c r="N106" i="30"/>
  <c r="N107" i="30" s="1"/>
  <c r="N108" i="30" s="1"/>
  <c r="N109" i="30" s="1"/>
  <c r="N110" i="30" s="1"/>
  <c r="N111" i="30" s="1"/>
  <c r="N112" i="30" s="1"/>
  <c r="N113" i="30" s="1"/>
  <c r="N114" i="30" s="1"/>
  <c r="N115" i="30" s="1"/>
  <c r="N116" i="30" s="1"/>
  <c r="N57" i="30"/>
  <c r="N58" i="30" s="1"/>
  <c r="N59" i="30" s="1"/>
  <c r="N60" i="30" s="1"/>
  <c r="N61" i="30" s="1"/>
  <c r="N62" i="30" s="1"/>
  <c r="N63" i="30" s="1"/>
  <c r="N64" i="30" s="1"/>
  <c r="N65" i="30" s="1"/>
  <c r="N66" i="30" s="1"/>
  <c r="N67" i="30" s="1"/>
  <c r="L56" i="30"/>
  <c r="P56" i="30"/>
  <c r="F57" i="30" s="1"/>
  <c r="P153" i="30"/>
  <c r="F154" i="30" s="1"/>
  <c r="L153" i="30"/>
  <c r="I21" i="27" l="1"/>
  <c r="F21" i="27"/>
  <c r="J21" i="27" s="1"/>
  <c r="I24" i="27"/>
  <c r="F24" i="27"/>
  <c r="J24" i="27" s="1"/>
  <c r="I22" i="27"/>
  <c r="F22" i="27"/>
  <c r="J22" i="27" s="1"/>
  <c r="K22" i="27" s="1"/>
  <c r="I23" i="27"/>
  <c r="F23" i="27"/>
  <c r="J23" i="27" s="1"/>
  <c r="A124" i="3"/>
  <c r="A125" i="3" s="1"/>
  <c r="N119" i="30"/>
  <c r="N121" i="30" s="1"/>
  <c r="C161" i="29"/>
  <c r="A161" i="29"/>
  <c r="A163" i="29"/>
  <c r="A164" i="29" s="1"/>
  <c r="P106" i="30"/>
  <c r="F107" i="30" s="1"/>
  <c r="L106" i="30"/>
  <c r="P11" i="30"/>
  <c r="N70" i="30"/>
  <c r="P10" i="30" s="1"/>
  <c r="L57" i="30"/>
  <c r="P57" i="30"/>
  <c r="F58" i="30" s="1"/>
  <c r="P154" i="30"/>
  <c r="F155" i="30" s="1"/>
  <c r="L154" i="30"/>
  <c r="N72" i="30"/>
  <c r="K24" i="27" l="1"/>
  <c r="K23" i="27"/>
  <c r="K21" i="27"/>
  <c r="J30" i="27"/>
  <c r="I30" i="27"/>
  <c r="A126" i="3"/>
  <c r="A127" i="3" s="1"/>
  <c r="A128" i="3" s="1"/>
  <c r="A165" i="29"/>
  <c r="A166" i="29" s="1"/>
  <c r="A167" i="29" s="1"/>
  <c r="A168" i="29" s="1"/>
  <c r="A169" i="29" s="1"/>
  <c r="A170" i="29" s="1"/>
  <c r="P16" i="30"/>
  <c r="L107" i="30"/>
  <c r="P107" i="30"/>
  <c r="F108" i="30" s="1"/>
  <c r="P58" i="30"/>
  <c r="F59" i="30" s="1"/>
  <c r="L58" i="30"/>
  <c r="P155" i="30"/>
  <c r="F156" i="30" s="1"/>
  <c r="L155" i="30"/>
  <c r="K30" i="27" l="1"/>
  <c r="E157" i="3" s="1"/>
  <c r="E159" i="3" s="1"/>
  <c r="C128" i="3"/>
  <c r="C171" i="29"/>
  <c r="A130" i="3"/>
  <c r="A131" i="3" s="1"/>
  <c r="A132" i="3" s="1"/>
  <c r="A171" i="29"/>
  <c r="A173" i="29" s="1"/>
  <c r="A174" i="29" s="1"/>
  <c r="P108" i="30"/>
  <c r="F109" i="30" s="1"/>
  <c r="L108" i="30"/>
  <c r="L156" i="30"/>
  <c r="P156" i="30"/>
  <c r="F157" i="30" s="1"/>
  <c r="L59" i="30"/>
  <c r="P59" i="30"/>
  <c r="F60" i="30" s="1"/>
  <c r="J157" i="3" l="1"/>
  <c r="K47" i="27" s="1"/>
  <c r="A175" i="29"/>
  <c r="A176" i="29" s="1"/>
  <c r="A177" i="29" s="1"/>
  <c r="A178" i="29" s="1"/>
  <c r="A179" i="29" s="1"/>
  <c r="A180" i="29" s="1"/>
  <c r="A133" i="3"/>
  <c r="A134" i="3" s="1"/>
  <c r="A135" i="3" s="1"/>
  <c r="A136" i="3" s="1"/>
  <c r="A137" i="3" s="1"/>
  <c r="A138" i="3" s="1"/>
  <c r="P109" i="30"/>
  <c r="F110" i="30" s="1"/>
  <c r="L109" i="30"/>
  <c r="P60" i="30"/>
  <c r="F61" i="30" s="1"/>
  <c r="L60" i="30"/>
  <c r="P157" i="30"/>
  <c r="F158" i="30" s="1"/>
  <c r="L157" i="30"/>
  <c r="J159" i="3" l="1"/>
  <c r="J31" i="3" s="1"/>
  <c r="C138" i="3"/>
  <c r="A140" i="3"/>
  <c r="A141" i="3" s="1"/>
  <c r="C181" i="29"/>
  <c r="A181" i="29"/>
  <c r="A183" i="29" s="1"/>
  <c r="A10" i="38" s="1"/>
  <c r="D183" i="29"/>
  <c r="L110" i="30"/>
  <c r="P110" i="30"/>
  <c r="F111" i="30" s="1"/>
  <c r="L158" i="30"/>
  <c r="P158" i="30"/>
  <c r="F159" i="30" s="1"/>
  <c r="L61" i="30"/>
  <c r="P61" i="30"/>
  <c r="F62" i="30" s="1"/>
  <c r="J47" i="27" l="1"/>
  <c r="C145" i="3"/>
  <c r="A142" i="3"/>
  <c r="A11" i="38"/>
  <c r="A12" i="38" s="1"/>
  <c r="A13" i="38" s="1"/>
  <c r="A14" i="38" s="1"/>
  <c r="A15" i="38" s="1"/>
  <c r="L111" i="30"/>
  <c r="P111" i="30"/>
  <c r="F112" i="30" s="1"/>
  <c r="P159" i="30"/>
  <c r="F160" i="30" s="1"/>
  <c r="L159" i="30"/>
  <c r="L62" i="30"/>
  <c r="P62" i="30"/>
  <c r="F63" i="30" s="1"/>
  <c r="A16" i="38" l="1"/>
  <c r="A17" i="38" s="1"/>
  <c r="A18" i="38" s="1"/>
  <c r="A19" i="38" s="1"/>
  <c r="C15" i="38"/>
  <c r="A143" i="3"/>
  <c r="A144" i="3" s="1"/>
  <c r="A145" i="3" s="1"/>
  <c r="P112" i="30"/>
  <c r="F113" i="30" s="1"/>
  <c r="L112" i="30"/>
  <c r="L63" i="30"/>
  <c r="P63" i="30"/>
  <c r="F64" i="30" s="1"/>
  <c r="L160" i="30"/>
  <c r="L161" i="30" s="1"/>
  <c r="P160" i="30"/>
  <c r="A146" i="3" l="1"/>
  <c r="A148" i="3" s="1"/>
  <c r="C149" i="3"/>
  <c r="A20" i="38"/>
  <c r="A21" i="38" s="1"/>
  <c r="A22" i="38" s="1"/>
  <c r="A23" i="38" s="1"/>
  <c r="A24" i="38" s="1"/>
  <c r="A25" i="38" s="1"/>
  <c r="A26" i="38" s="1"/>
  <c r="A27" i="38" s="1"/>
  <c r="A28" i="38" s="1"/>
  <c r="P113" i="30"/>
  <c r="F114" i="30" s="1"/>
  <c r="L113" i="30"/>
  <c r="P64" i="30"/>
  <c r="F65" i="30" s="1"/>
  <c r="L64" i="30"/>
  <c r="A29" i="38" l="1"/>
  <c r="A30" i="38" s="1"/>
  <c r="A31" i="38" s="1"/>
  <c r="A32" i="38" s="1"/>
  <c r="A33" i="38" s="1"/>
  <c r="A34" i="38" s="1"/>
  <c r="A149" i="3"/>
  <c r="A150" i="3" s="1"/>
  <c r="C23" i="38"/>
  <c r="B25" i="38"/>
  <c r="L114" i="30"/>
  <c r="P114" i="30"/>
  <c r="F115" i="30" s="1"/>
  <c r="P65" i="30"/>
  <c r="F66" i="30" s="1"/>
  <c r="L65" i="30"/>
  <c r="D150" i="3" l="1"/>
  <c r="A152" i="3"/>
  <c r="A153" i="3" s="1"/>
  <c r="C155" i="3" s="1"/>
  <c r="B34" i="25"/>
  <c r="C34" i="38"/>
  <c r="A35" i="38"/>
  <c r="A36" i="38" s="1"/>
  <c r="A37" i="38" s="1"/>
  <c r="A38" i="38" s="1"/>
  <c r="A39" i="38" s="1"/>
  <c r="B36" i="38"/>
  <c r="P115" i="30"/>
  <c r="F116" i="30" s="1"/>
  <c r="L115" i="30"/>
  <c r="P66" i="30"/>
  <c r="F67" i="30" s="1"/>
  <c r="L66" i="30"/>
  <c r="A40" i="38" l="1"/>
  <c r="A41" i="38" s="1"/>
  <c r="B41" i="38"/>
  <c r="B33" i="25"/>
  <c r="A155" i="3"/>
  <c r="C148" i="3"/>
  <c r="P116" i="30"/>
  <c r="L116" i="30"/>
  <c r="L117" i="30" s="1"/>
  <c r="L67" i="30"/>
  <c r="L68" i="30" s="1"/>
  <c r="P67" i="30"/>
  <c r="A157" i="3" l="1"/>
  <c r="A159" i="3" s="1"/>
  <c r="C159" i="3"/>
  <c r="H9" i="17"/>
  <c r="J53" i="17" s="1"/>
  <c r="E20" i="17" l="1"/>
  <c r="E21" i="17" s="1"/>
  <c r="D31" i="3"/>
  <c r="A183" i="3"/>
  <c r="A185" i="3" s="1"/>
  <c r="E22" i="17"/>
  <c r="I21" i="17"/>
  <c r="L21" i="17" s="1"/>
  <c r="I20" i="17"/>
  <c r="A186" i="3" l="1"/>
  <c r="A187" i="3" s="1"/>
  <c r="A188" i="3" s="1"/>
  <c r="I22" i="17"/>
  <c r="L22" i="17" s="1"/>
  <c r="E23" i="17"/>
  <c r="L20" i="17"/>
  <c r="C188" i="3" l="1"/>
  <c r="C190" i="3"/>
  <c r="A190" i="3"/>
  <c r="A192" i="3" s="1"/>
  <c r="A193" i="3" s="1"/>
  <c r="A194" i="3" s="1"/>
  <c r="E24" i="17"/>
  <c r="I23" i="17"/>
  <c r="L23" i="17" s="1"/>
  <c r="A195" i="3" l="1"/>
  <c r="A196" i="3" s="1"/>
  <c r="A198" i="3" s="1"/>
  <c r="A200" i="3" s="1"/>
  <c r="C196" i="3"/>
  <c r="I24" i="17"/>
  <c r="L24" i="17" s="1"/>
  <c r="E25" i="17"/>
  <c r="A201" i="3" l="1"/>
  <c r="A202" i="3" s="1"/>
  <c r="A203" i="3" s="1"/>
  <c r="C143" i="3" s="1"/>
  <c r="C203" i="3"/>
  <c r="I25" i="17"/>
  <c r="L25" i="17" s="1"/>
  <c r="E26" i="17"/>
  <c r="A208" i="3" l="1"/>
  <c r="A209" i="3" s="1"/>
  <c r="A210" i="3" s="1"/>
  <c r="A211" i="3" s="1"/>
  <c r="A212" i="3" s="1"/>
  <c r="C153" i="3"/>
  <c r="I26" i="17"/>
  <c r="L26" i="17" s="1"/>
  <c r="E27" i="17"/>
  <c r="G8" i="27" l="1"/>
  <c r="E37" i="25"/>
  <c r="E28" i="17"/>
  <c r="I27" i="17"/>
  <c r="L27" i="17" s="1"/>
  <c r="I28" i="17" l="1"/>
  <c r="L28" i="17" s="1"/>
  <c r="E29" i="17"/>
  <c r="I29" i="17" l="1"/>
  <c r="L29" i="17" s="1"/>
  <c r="E30" i="17"/>
  <c r="I30" i="17" l="1"/>
  <c r="L30" i="17" s="1"/>
  <c r="E31" i="17"/>
  <c r="I31" i="17" s="1"/>
  <c r="L31" i="17" l="1"/>
  <c r="L32" i="17" s="1"/>
  <c r="E35" i="17" s="1"/>
  <c r="I32" i="17"/>
  <c r="I35" i="17" l="1"/>
  <c r="L35" i="17" s="1"/>
  <c r="E38" i="17" l="1"/>
  <c r="J38" i="17"/>
  <c r="L38" i="17" l="1"/>
  <c r="E39" i="17" s="1"/>
  <c r="I38" i="17"/>
  <c r="J39" i="17"/>
  <c r="J40" i="17" s="1"/>
  <c r="J41" i="17" s="1"/>
  <c r="J42" i="17" s="1"/>
  <c r="J43" i="17" s="1"/>
  <c r="J44" i="17" s="1"/>
  <c r="J45" i="17" s="1"/>
  <c r="J46" i="17" s="1"/>
  <c r="J47" i="17" s="1"/>
  <c r="J48" i="17" s="1"/>
  <c r="J49" i="17" s="1"/>
  <c r="L39" i="17" l="1"/>
  <c r="E40" i="17" s="1"/>
  <c r="I39" i="17"/>
  <c r="J52" i="17"/>
  <c r="L40" i="17" l="1"/>
  <c r="E41" i="17" s="1"/>
  <c r="I40" i="17"/>
  <c r="E36" i="3"/>
  <c r="J36" i="3" s="1"/>
  <c r="J38" i="3" s="1"/>
  <c r="J54" i="17"/>
  <c r="I41" i="17" l="1"/>
  <c r="L41" i="17"/>
  <c r="E42" i="17" s="1"/>
  <c r="L42" i="17" l="1"/>
  <c r="E43" i="17" s="1"/>
  <c r="I42" i="17"/>
  <c r="L43" i="17" l="1"/>
  <c r="E44" i="17" s="1"/>
  <c r="I43" i="17"/>
  <c r="I44" i="17" l="1"/>
  <c r="L44" i="17"/>
  <c r="E45" i="17" s="1"/>
  <c r="L45" i="17" l="1"/>
  <c r="E46" i="17" s="1"/>
  <c r="I45" i="17"/>
  <c r="I46" i="17" l="1"/>
  <c r="L46" i="17"/>
  <c r="E47" i="17" s="1"/>
  <c r="I47" i="17" l="1"/>
  <c r="L47" i="17"/>
  <c r="E48" i="17" s="1"/>
  <c r="L48" i="17" l="1"/>
  <c r="E49" i="17" s="1"/>
  <c r="I48" i="17"/>
  <c r="L49" i="17" l="1"/>
  <c r="I49" i="17"/>
  <c r="I50" i="17" s="1"/>
</calcChain>
</file>

<file path=xl/sharedStrings.xml><?xml version="1.0" encoding="utf-8"?>
<sst xmlns="http://schemas.openxmlformats.org/spreadsheetml/2006/main" count="2210" uniqueCount="1109">
  <si>
    <t>(Attachment 6a)</t>
  </si>
  <si>
    <t>Account 456</t>
  </si>
  <si>
    <t>Plant &amp; Labor Related</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</si>
  <si>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</si>
  <si>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</si>
  <si>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Net Transmission Plant in Service</t>
  </si>
  <si>
    <t>Unamortized Abandoned Plant</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</si>
  <si>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</si>
  <si>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</si>
  <si>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</si>
  <si>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</si>
  <si>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</si>
  <si>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</si>
  <si>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</si>
  <si>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</si>
  <si>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</si>
  <si>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</si>
  <si>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</si>
  <si>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</si>
  <si>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</si>
  <si>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</si>
  <si>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</si>
  <si>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</si>
  <si>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</si>
  <si>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NET REVENUE REQUIREMENT</t>
  </si>
  <si>
    <t>Form No. 1</t>
  </si>
  <si>
    <t>Transmission</t>
  </si>
  <si>
    <t>Page, Line, Col.</t>
  </si>
  <si>
    <t>Company Total</t>
  </si>
  <si>
    <t xml:space="preserve">                  Allocator</t>
  </si>
  <si>
    <t>(Col 3 times Col 4)</t>
  </si>
  <si>
    <t>RATE BASE:</t>
  </si>
  <si>
    <t>NA</t>
  </si>
  <si>
    <t xml:space="preserve">  Transmission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</si>
  <si>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</si>
  <si>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</si>
  <si>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</si>
  <si>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</si>
  <si>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</si>
  <si>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</si>
  <si>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</si>
  <si>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</si>
  <si>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</si>
  <si>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</si>
  <si>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</si>
  <si>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</si>
  <si>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</si>
  <si>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</si>
  <si>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</si>
  <si>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</si>
  <si>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</si>
  <si>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</si>
  <si>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</si>
  <si>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</si>
  <si>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T=1 - {[(1 - SIT) * (1 - FIT)] / (1 - SIT * FIT * p)}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</si>
  <si>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</si>
  <si>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</si>
  <si>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</si>
  <si>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</si>
  <si>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</si>
  <si>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</si>
  <si>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</si>
  <si>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</si>
  <si>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</si>
  <si>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</si>
  <si>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</si>
  <si>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</si>
  <si>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</si>
  <si>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</si>
  <si>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</si>
  <si>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</si>
  <si>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</si>
  <si>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</si>
  <si>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</si>
  <si>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</si>
  <si>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</si>
  <si>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</si>
  <si>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</si>
  <si>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</si>
  <si>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</si>
  <si>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</si>
  <si>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</si>
  <si>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</si>
  <si>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 xml:space="preserve">The balances in Accounts 190, 281, 282 and 283, as adjusted by any amounts in contra accounts identified as regulatory assets </t>
  </si>
  <si>
    <t>G</t>
  </si>
  <si>
    <t>Identified in Form 1 as being only transmission related.</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</si>
  <si>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</si>
  <si>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</si>
  <si>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</si>
  <si>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</si>
  <si>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</si>
  <si>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</si>
  <si>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</si>
  <si>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</si>
  <si>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</si>
  <si>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</si>
  <si>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</si>
  <si>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</si>
  <si>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</si>
  <si>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</si>
  <si>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</si>
  <si>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</si>
  <si>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</si>
  <si>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</si>
  <si>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</si>
  <si>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</si>
  <si>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</si>
  <si>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</si>
  <si>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</si>
  <si>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</si>
  <si>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</si>
  <si>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</si>
  <si>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</si>
  <si>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</si>
  <si>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</si>
  <si>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</si>
  <si>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</si>
  <si>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</si>
  <si>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</si>
  <si>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</si>
  <si>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</si>
  <si>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</si>
  <si>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</si>
  <si>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</si>
  <si>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State 1</t>
  </si>
  <si>
    <t>Non-transmission Related</t>
  </si>
  <si>
    <t>Regulatory Expense Related to Transmission Cost Support</t>
  </si>
  <si>
    <t>Allocated General &amp; Common Expenses</t>
  </si>
  <si>
    <t>EPRI Dues</t>
  </si>
  <si>
    <t>EPRI Dues Cost Support</t>
  </si>
  <si>
    <t>Balance</t>
  </si>
  <si>
    <t>May</t>
  </si>
  <si>
    <t>(B)</t>
  </si>
  <si>
    <t>(A)</t>
  </si>
  <si>
    <t>April</t>
  </si>
  <si>
    <t>Year</t>
  </si>
  <si>
    <t>FCR for This Project</t>
  </si>
  <si>
    <t>SIT=State Income Tax Rate or Composite</t>
  </si>
  <si>
    <t>DA</t>
  </si>
  <si>
    <t>Stores Expense Undistributed</t>
  </si>
  <si>
    <t>End of Year</t>
  </si>
  <si>
    <t>Beg of year</t>
  </si>
  <si>
    <t>Materials &amp; Supplies</t>
  </si>
  <si>
    <t>p323.191.b</t>
  </si>
  <si>
    <t>p214</t>
  </si>
  <si>
    <t>Source</t>
  </si>
  <si>
    <t>December</t>
  </si>
  <si>
    <t>company records</t>
  </si>
  <si>
    <t>November</t>
  </si>
  <si>
    <t xml:space="preserve">October </t>
  </si>
  <si>
    <t>September</t>
  </si>
  <si>
    <t>August</t>
  </si>
  <si>
    <t>July</t>
  </si>
  <si>
    <t xml:space="preserve">June </t>
  </si>
  <si>
    <t>March</t>
  </si>
  <si>
    <t>February</t>
  </si>
  <si>
    <t>January</t>
  </si>
  <si>
    <t>Calculation of General Accumulated Depreciation</t>
  </si>
  <si>
    <t>Prior year p200.21.c</t>
  </si>
  <si>
    <t>Calculation of Intangible Accumulated Depreciation</t>
  </si>
  <si>
    <t>Transmission Accumulated Depreciation</t>
  </si>
  <si>
    <t>October</t>
  </si>
  <si>
    <t>Calculation of Transmission Accumulated Depreciation</t>
  </si>
  <si>
    <t>Accumulated Depreciation Worksheet</t>
  </si>
  <si>
    <t>General Plant In Service</t>
  </si>
  <si>
    <t>Calculation of General Plant In Service</t>
  </si>
  <si>
    <t>Intangible Plant In Service</t>
  </si>
  <si>
    <t>Calculation of Intangible Plant In Service</t>
  </si>
  <si>
    <t>Calculation of Transmission  Plant In Service</t>
  </si>
  <si>
    <t>Plant in Service Worksheet</t>
  </si>
  <si>
    <t>xxxx</t>
  </si>
  <si>
    <t>Misc non-transmission rentals</t>
  </si>
  <si>
    <t>Corporate headquarters sublease</t>
  </si>
  <si>
    <t>Other rentals</t>
  </si>
  <si>
    <t>Transmission tower wireless rentals</t>
  </si>
  <si>
    <t>Underground rentals</t>
  </si>
  <si>
    <t>Joint pole attachments - telephone</t>
  </si>
  <si>
    <t>Account 454</t>
  </si>
  <si>
    <t>All Account 454 and 456 Revenues must be itemized below</t>
  </si>
  <si>
    <t>Note 2</t>
  </si>
  <si>
    <t>Note 1</t>
  </si>
  <si>
    <t>Total Revenue Credits</t>
  </si>
  <si>
    <t>Revenues from Directly Assigned Transmission Facility Charges (Note 2)</t>
  </si>
  <si>
    <t>Account 454 - Rent from Electric Property</t>
  </si>
  <si>
    <t>Joint pole attachments - cable</t>
  </si>
  <si>
    <t>PBOPs</t>
  </si>
  <si>
    <t>Average</t>
  </si>
  <si>
    <t>Transmission Plant In Service</t>
  </si>
  <si>
    <t>Total Plant In Service</t>
  </si>
  <si>
    <t>Accumulated Intangible Depreciation</t>
  </si>
  <si>
    <t>Accumulated General Depreciation</t>
  </si>
  <si>
    <t>Total Accumulated Depreciation</t>
  </si>
  <si>
    <t>Regulatory Commission Exp Account 928</t>
  </si>
  <si>
    <t>General Advertising Exp Account 930.1</t>
  </si>
  <si>
    <t>Excluded Transmission Facilities</t>
  </si>
  <si>
    <t>Transmission Materials &amp; Supplies</t>
  </si>
  <si>
    <t xml:space="preserve">  CWIP</t>
  </si>
  <si>
    <t>Calculation of Transmission CWIP</t>
  </si>
  <si>
    <t>Transmission CWIP</t>
  </si>
  <si>
    <t>Beginning of Year</t>
  </si>
  <si>
    <t>Average Balance</t>
  </si>
  <si>
    <t xml:space="preserve">Total Loan Amount </t>
  </si>
  <si>
    <t xml:space="preserve">NPV = 0 = </t>
  </si>
  <si>
    <t>Origination Fees</t>
  </si>
  <si>
    <t>Underwriting Discount</t>
  </si>
  <si>
    <t xml:space="preserve">   Total Issuance Expense</t>
  </si>
  <si>
    <t>Interest Rate</t>
  </si>
  <si>
    <t>( C)</t>
  </si>
  <si>
    <t>(D)</t>
  </si>
  <si>
    <t>(E)</t>
  </si>
  <si>
    <t>(F)</t>
  </si>
  <si>
    <t>(G)</t>
  </si>
  <si>
    <t>(H)</t>
  </si>
  <si>
    <t>(I)</t>
  </si>
  <si>
    <t>Origination Fees ($000's)</t>
  </si>
  <si>
    <t>Net Cash Flows ($000's)</t>
  </si>
  <si>
    <t>(D-F-G-H)</t>
  </si>
  <si>
    <t>Q1</t>
  </si>
  <si>
    <t>Q2</t>
  </si>
  <si>
    <t>Q3</t>
  </si>
  <si>
    <t>Q4</t>
  </si>
  <si>
    <t xml:space="preserve">  General &amp; Intangible</t>
  </si>
  <si>
    <t>LAND HELD FOR FUTURE USE</t>
  </si>
  <si>
    <t xml:space="preserve">  Prepayments (Account 165)</t>
  </si>
  <si>
    <t xml:space="preserve">Cash Working Capital assigned to transmission is one-eighth of O&amp;M allocated to transmission </t>
  </si>
  <si>
    <t>Capital Structure</t>
  </si>
  <si>
    <t xml:space="preserve">GROSS REVENUE REQUIREMENT    </t>
  </si>
  <si>
    <t xml:space="preserve">  Unamortized Abandoned Plant</t>
  </si>
  <si>
    <t>Per FERC Order</t>
  </si>
  <si>
    <t xml:space="preserve">  Amortization of Abandoned Plant</t>
  </si>
  <si>
    <t>Regulatory Asset</t>
  </si>
  <si>
    <t>Months in Year to be amortized</t>
  </si>
  <si>
    <t>Beginning Balance of Regulatory Asset</t>
  </si>
  <si>
    <t>Ending Balance of Regulatory Asset</t>
  </si>
  <si>
    <t>Multi-state Workpaper</t>
  </si>
  <si>
    <t>Average Balance of Regulatory Asset</t>
  </si>
  <si>
    <t xml:space="preserve"> Average</t>
  </si>
  <si>
    <t>Weighed Average</t>
  </si>
  <si>
    <t xml:space="preserve">  General and Intangible</t>
  </si>
  <si>
    <t>Spread</t>
  </si>
  <si>
    <t>LIBOR Rate</t>
  </si>
  <si>
    <t>Revolving Credit Commitment Fee</t>
  </si>
  <si>
    <t>Legal Fees</t>
  </si>
  <si>
    <t>Rating Agency Fee</t>
  </si>
  <si>
    <t>Upfront Fee</t>
  </si>
  <si>
    <t>Arrangement Fee</t>
  </si>
  <si>
    <t xml:space="preserve">     PBOP expense adjustment</t>
  </si>
  <si>
    <t>Calculation of PBOP Expenses</t>
  </si>
  <si>
    <t xml:space="preserve">Total PBOP expenses </t>
  </si>
  <si>
    <t>Labor dollars</t>
  </si>
  <si>
    <t>Cost per labor dollar</t>
  </si>
  <si>
    <t>216.b</t>
  </si>
  <si>
    <t>Annual Rating Agency Fee</t>
  </si>
  <si>
    <t>Annual Bank Agency Fee</t>
  </si>
  <si>
    <t>Interest Rate on Amount of Refunds or Surcharges</t>
  </si>
  <si>
    <t>Over (Under) Recovery Plus Interest</t>
  </si>
  <si>
    <t>Months</t>
  </si>
  <si>
    <t>Calculated Interest</t>
  </si>
  <si>
    <t>Amortization</t>
  </si>
  <si>
    <t>Surcharge (Refund) Owed</t>
  </si>
  <si>
    <t>Calculation of Interest</t>
  </si>
  <si>
    <t>Monthly</t>
  </si>
  <si>
    <t>June</t>
  </si>
  <si>
    <t>Annual</t>
  </si>
  <si>
    <t>January  through December</t>
  </si>
  <si>
    <t>Over (Under) Recovery Plus Interest Amortized and Recovered Over 12 Months</t>
  </si>
  <si>
    <t>Less Over (Under) Recovery</t>
  </si>
  <si>
    <t>Total Interest</t>
  </si>
  <si>
    <t>Item</t>
  </si>
  <si>
    <t>CWIP</t>
  </si>
  <si>
    <t xml:space="preserve">     Less EPRI &amp; Reg. Comm. Exp. &amp; Other  Ad.  </t>
  </si>
  <si>
    <t>p323.189.b</t>
  </si>
  <si>
    <t>Revenue Requirement</t>
  </si>
  <si>
    <t xml:space="preserve">     Plus Transmission Related Reg. Comm.  Exp.  </t>
  </si>
  <si>
    <t xml:space="preserve">  Account No. 255 (enter negative)  </t>
  </si>
  <si>
    <t>p204.5.b</t>
  </si>
  <si>
    <t>p205.5.g</t>
  </si>
  <si>
    <t>323.197.b</t>
  </si>
  <si>
    <t>354.21.b</t>
  </si>
  <si>
    <t>354.24,25,26.b</t>
  </si>
  <si>
    <t>YEAR</t>
  </si>
  <si>
    <t>SUMMARY</t>
  </si>
  <si>
    <t>Calculation of Applicable Interest Expense for each ATRR period</t>
  </si>
  <si>
    <t>Interest Rate on Amount of Refunds or Surcharges from 35.19a</t>
  </si>
  <si>
    <t>(GP=1 if plant =0)</t>
  </si>
  <si>
    <t>(NP=1 if plant =0)</t>
  </si>
  <si>
    <t>SUPPORTING CALCULATIONS AND NOTES</t>
  </si>
  <si>
    <t>Attachment 4 - Transmission Enhancement Charge Worksheet</t>
  </si>
  <si>
    <t>labor (labor not capitalized) current year</t>
  </si>
  <si>
    <t>PBOP Expense for current year</t>
  </si>
  <si>
    <t>TRANSMISSION PLANT INCLUDED IN RTO RATES</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</si>
  <si>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</si>
  <si>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</si>
  <si>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Months remaining in Amortization Period</t>
  </si>
  <si>
    <t>Rent from FERC Form No. 1</t>
  </si>
  <si>
    <t>Other Electric Revenues (Note 2)</t>
  </si>
  <si>
    <t>Appendix A Line #s, Descriptions, Notes, Form 1 Page #s and Instructions</t>
  </si>
  <si>
    <t>Monthly Amortization to Account 566</t>
  </si>
  <si>
    <t xml:space="preserve">  multiplied by (1/1-T) .</t>
  </si>
  <si>
    <t xml:space="preserve">  Account No. 255 (enter negative) (Note F)</t>
  </si>
  <si>
    <t>Less</t>
  </si>
  <si>
    <t>Equals</t>
  </si>
  <si>
    <t>WAGES &amp; SALARY ALLOCATOR   (W&amp;S) (Note I)</t>
  </si>
  <si>
    <t>Multiple state rates are weighted based on the state apportionment factors on the state income tax returns</t>
  </si>
  <si>
    <t>Line No.</t>
  </si>
  <si>
    <t>TOTAL</t>
  </si>
  <si>
    <t>Transmission Service</t>
  </si>
  <si>
    <t>Trans. Fac. Charge</t>
  </si>
  <si>
    <t>Trans Studies</t>
  </si>
  <si>
    <t>Less:</t>
  </si>
  <si>
    <t>Sub Total Revenue Credit</t>
  </si>
  <si>
    <t>Other 1</t>
  </si>
  <si>
    <t>Other 2</t>
  </si>
  <si>
    <t>1a</t>
  </si>
  <si>
    <t>Prior Period Adjustments</t>
  </si>
  <si>
    <t xml:space="preserve">     Revenue for Demands in Divisor </t>
  </si>
  <si>
    <t>1x</t>
  </si>
  <si>
    <t xml:space="preserve">     Less Accounts 565, 561 and 561.1 to 561.8</t>
  </si>
  <si>
    <t>K</t>
  </si>
  <si>
    <t>Account 456 and 456.1</t>
  </si>
  <si>
    <t xml:space="preserve">     (Prepayments exclude Prepaid Pension Assets)</t>
  </si>
  <si>
    <t>Reserves</t>
  </si>
  <si>
    <t>List of all reserves:</t>
  </si>
  <si>
    <t>Reserve 1</t>
  </si>
  <si>
    <t>Reserve 2</t>
  </si>
  <si>
    <t>Reserve 3</t>
  </si>
  <si>
    <t>Labor</t>
  </si>
  <si>
    <t>Allocation (Plant or Labor Allocator)</t>
  </si>
  <si>
    <t xml:space="preserve">Enter 1 if Customer Funded, O if not </t>
  </si>
  <si>
    <t>Amount Allocated</t>
  </si>
  <si>
    <t>Cost of Preferred Stock</t>
  </si>
  <si>
    <t xml:space="preserve">Plant </t>
  </si>
  <si>
    <t>Related</t>
  </si>
  <si>
    <t>ADIT- 282</t>
  </si>
  <si>
    <t>From Acct. 282 total, below</t>
  </si>
  <si>
    <t>ADIT-283</t>
  </si>
  <si>
    <t>From Acct. 283 total, below</t>
  </si>
  <si>
    <t>ADIT-190</t>
  </si>
  <si>
    <t>From Acct. 190 total, below</t>
  </si>
  <si>
    <t>Subtotal</t>
  </si>
  <si>
    <t>Wages &amp; Salary Allocator</t>
  </si>
  <si>
    <t>End of  Year ADIT</t>
  </si>
  <si>
    <t>In filling out this attachment, a full and complete description of each item and justification for the allocation to Columns B-F and each separate ADIT item will be listed,</t>
  </si>
  <si>
    <t>Gas, Prod</t>
  </si>
  <si>
    <t>Or Other</t>
  </si>
  <si>
    <t>Justification</t>
  </si>
  <si>
    <t>Subtotal - p234</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</si>
  <si>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</si>
  <si>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</si>
  <si>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</si>
  <si>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</si>
  <si>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</si>
  <si>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</si>
  <si>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</si>
  <si>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Subtotal - p275  </t>
  </si>
  <si>
    <t>Instructions for Account 282:</t>
  </si>
  <si>
    <t xml:space="preserve">Subtotal - p277  </t>
  </si>
  <si>
    <t>Instructions for Account 283:</t>
  </si>
  <si>
    <t>Attachment 6a - Accumulated Deferred Income Taxes (ADIT) Worksheet (Beginning of Year)</t>
  </si>
  <si>
    <t>Attachment 7 - Example of True-Up Calculation</t>
  </si>
  <si>
    <t>Attachment 6b - Accumulated Deferred Income Taxes (ADIT) Worksheet (End of Year)</t>
  </si>
  <si>
    <t>Average of Beginning of Year and End of Year ((7 +8)/2)</t>
  </si>
  <si>
    <t>ADIT- 283</t>
  </si>
  <si>
    <r>
      <t>The Formula Rate shall include a credit to rate base for all funded and unfunded reserves (</t>
    </r>
    <r>
      <rPr>
        <i/>
        <sz val="11"/>
        <rFont val="Calibri"/>
        <family val="2"/>
      </rPr>
      <t>i.e.</t>
    </r>
    <r>
      <rPr>
        <sz val="11"/>
        <rFont val="Calibri"/>
        <family val="2"/>
      </rPr>
      <t xml:space="preserve">, those for which the funds collected have not been set aside in escrow and the earnings </t>
    </r>
  </si>
  <si>
    <t>(to be included in the Formula Rate template) each year as part of the Annual Update that lists the reserves and indicates which ones meet the test for crediting to rate base.</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</si>
  <si>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</si>
  <si>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</si>
  <si>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</si>
  <si>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</si>
  <si>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</si>
  <si>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</si>
  <si>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Rate Base</t>
  </si>
  <si>
    <t>100 Basis Point Incentive Return</t>
  </si>
  <si>
    <t>100 Basis Point Incentive Return multiplied by Rate Base (line 1 * line 6)</t>
  </si>
  <si>
    <t>Return and Income Taxes with 100 basis point increase in ROE</t>
  </si>
  <si>
    <t>Return and Income Taxes without 100 basis point increase in ROE</t>
  </si>
  <si>
    <t>Incremental Return and Income Taxes for 100 basis point increase in ROE</t>
  </si>
  <si>
    <t>The Hypothetical Example:</t>
  </si>
  <si>
    <t>Hypothetical Monthly Interest Rate</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</si>
  <si>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</si>
  <si>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 xml:space="preserve">thereon included in the reserve fund) that are funded by customers and for which the associated accrued costs are recoverable under the Formula Rate.  Company will include a spreadsheet </t>
  </si>
  <si>
    <t>Reserve 4</t>
  </si>
  <si>
    <t>…</t>
  </si>
  <si>
    <t>Input the allowed ROE Incentive</t>
  </si>
  <si>
    <t>Base FCR</t>
  </si>
  <si>
    <t>Base Fixed Charge Rate (Base FCR)</t>
  </si>
  <si>
    <t>Useful life of project/Amort period</t>
  </si>
  <si>
    <t xml:space="preserve">  ADIT</t>
  </si>
  <si>
    <t xml:space="preserve">  Reserves (enter negative)</t>
  </si>
  <si>
    <t>Carrying Charge Difference for 100 Basis point of ROE</t>
  </si>
  <si>
    <t>Attachment 3</t>
  </si>
  <si>
    <t>Attachment 2 - Cost Support</t>
  </si>
  <si>
    <t>Net Rev Req less Depreciation expense</t>
  </si>
  <si>
    <t>Line 5</t>
  </si>
  <si>
    <t xml:space="preserve">  Unamortized Regulatory Assets</t>
  </si>
  <si>
    <t>Project Name</t>
  </si>
  <si>
    <t>Regulatory Assets</t>
  </si>
  <si>
    <t>Sum Of Net Plant, CWIP, Abandoned Plant And Regulatory Assets</t>
  </si>
  <si>
    <t>Line 42 reflects all Regulatory Commission Expenses directly related to transmission service, RTO filings, or transmission siting itemized at 351.h</t>
  </si>
  <si>
    <t>Column A</t>
  </si>
  <si>
    <t>Column B</t>
  </si>
  <si>
    <t>Column C</t>
  </si>
  <si>
    <t>Column D</t>
  </si>
  <si>
    <t>Column E</t>
  </si>
  <si>
    <t>Column F</t>
  </si>
  <si>
    <t>Column G</t>
  </si>
  <si>
    <t>Column H</t>
  </si>
  <si>
    <t>Column I</t>
  </si>
  <si>
    <t>Line 6 times Col C divided by 100 basis points plus Col D</t>
  </si>
  <si>
    <t>7a</t>
  </si>
  <si>
    <t>7b</t>
  </si>
  <si>
    <t>7c</t>
  </si>
  <si>
    <t>7d</t>
  </si>
  <si>
    <t>7e</t>
  </si>
  <si>
    <t>7f</t>
  </si>
  <si>
    <t>7g</t>
  </si>
  <si>
    <t>7h</t>
  </si>
  <si>
    <t>7i</t>
  </si>
  <si>
    <t>Note 1:  Add additional lines after line 7i for additional projects</t>
  </si>
  <si>
    <t>Actual Rev Req at Base FCR</t>
  </si>
  <si>
    <t>Actual Rev Req at Increased ROE</t>
  </si>
  <si>
    <t>Sum lines 20 and 21</t>
  </si>
  <si>
    <t>Line 19 less line 22</t>
  </si>
  <si>
    <t>13 Month Balance Net Plant;</t>
  </si>
  <si>
    <t>[Col D x Col F + Col G]</t>
  </si>
  <si>
    <t>(Col E x Col F + Col G)</t>
  </si>
  <si>
    <t>Depreciation or Amortization Expense</t>
  </si>
  <si>
    <t>Total of Col F ties to Line 4</t>
  </si>
  <si>
    <t>Total Amount to be Charged</t>
  </si>
  <si>
    <t>Less Transmission Depreciation Expense plus Abandoned Plant and Regulatory Asset Amortization Expense</t>
  </si>
  <si>
    <t>(Attachment 2) (Note K)</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</si>
  <si>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</si>
  <si>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</si>
  <si>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</si>
  <si>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</si>
  <si>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</si>
  <si>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</si>
  <si>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</si>
  <si>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</si>
  <si>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</si>
  <si>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</si>
  <si>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</si>
  <si>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</si>
  <si>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</si>
  <si>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321.84.b to 92.b</t>
  </si>
  <si>
    <t>263._.i (enter FN1 line #)</t>
  </si>
  <si>
    <t>111.57.d</t>
  </si>
  <si>
    <t>216.b (prior Year)</t>
  </si>
  <si>
    <t>p353._.f (enter FN1 line #)</t>
  </si>
  <si>
    <t>Prior year p219.25.b</t>
  </si>
  <si>
    <t>p219.25.b</t>
  </si>
  <si>
    <t>p200.21.c</t>
  </si>
  <si>
    <t>Prior year p219.28.b</t>
  </si>
  <si>
    <t>p219.28.b</t>
  </si>
  <si>
    <t>Enter docket nos. for orders authorizing recovery here:</t>
  </si>
  <si>
    <t>Sum lines 7 and 18</t>
  </si>
  <si>
    <t xml:space="preserve">An over or under collection will be recovered prorata over year collected, held for one year and returned prorata over next year </t>
  </si>
  <si>
    <t>(Attachment 2) (Note J)</t>
  </si>
  <si>
    <t>Total  (sum lines 3-5)</t>
  </si>
  <si>
    <t>Docket Number</t>
  </si>
  <si>
    <t>Amortization period</t>
  </si>
  <si>
    <t>(a)</t>
  </si>
  <si>
    <t>(Line 3 / line 4)</t>
  </si>
  <si>
    <t>(Line 1 minus line 2)</t>
  </si>
  <si>
    <t>Total of Col H ties to Line 1 Total</t>
  </si>
  <si>
    <t>Total of Col G ties to Line 2 Total</t>
  </si>
  <si>
    <t>(Line 23 divided by line 24)</t>
  </si>
  <si>
    <t>Incentive ROE and 60/40 Project Worksheet</t>
  </si>
  <si>
    <t>ROE will be supported in the original filing and no change in ROE may be made absent a filing with FERC under FPA Section 205 or 206.</t>
  </si>
  <si>
    <t>Construction Materials &amp; Supplies</t>
  </si>
  <si>
    <t>Column b</t>
  </si>
  <si>
    <t>Column c</t>
  </si>
  <si>
    <t>p227.16</t>
  </si>
  <si>
    <t>p227.8</t>
  </si>
  <si>
    <t>p227.5</t>
  </si>
  <si>
    <t xml:space="preserve"> Form No.1 page</t>
  </si>
  <si>
    <t>Note:  for the projection, the prior year's actual balances will be used</t>
  </si>
  <si>
    <t xml:space="preserve">  (percentage of ownership that is not for profit)</t>
  </si>
  <si>
    <t>(Attachment 4)</t>
  </si>
  <si>
    <t>CALISO</t>
  </si>
  <si>
    <t>L</t>
  </si>
  <si>
    <t>M</t>
  </si>
  <si>
    <t>(Attachment 2) (Note L)</t>
  </si>
  <si>
    <t>Return and Income Tax on Incentive Projects</t>
  </si>
  <si>
    <t>N</t>
  </si>
  <si>
    <t>Note 2: Regulatory Assets, Abandoned Plant, CWIP, and plant in-service shall be listed on separate lines for each project</t>
  </si>
  <si>
    <t xml:space="preserve">Attachment 1 - Revenue Credit Workpaper </t>
  </si>
  <si>
    <t xml:space="preserve">     Revenue Credits included in the TRBAA</t>
  </si>
  <si>
    <t>321.112.b  &amp; (Note O)</t>
  </si>
  <si>
    <t>O</t>
  </si>
  <si>
    <t>Excludes TRBAA expenses</t>
  </si>
  <si>
    <r>
      <t xml:space="preserve"> </t>
    </r>
    <r>
      <rPr>
        <b/>
        <sz val="12"/>
        <color indexed="8"/>
        <rFont val="Arial MT"/>
      </rPr>
      <t>MidAmerican Central California Transco, LLC</t>
    </r>
    <r>
      <rPr>
        <sz val="12"/>
        <rFont val="Arial MT"/>
      </rPr>
      <t xml:space="preserve"> </t>
    </r>
  </si>
  <si>
    <t>MidAmerican Central California Transco, LLC</t>
  </si>
  <si>
    <t>MidAmerican Energy Company Employees</t>
  </si>
  <si>
    <t>(Attachment 3, line 25)</t>
  </si>
  <si>
    <t>Column J</t>
  </si>
  <si>
    <t xml:space="preserve">Incentive ROE </t>
  </si>
  <si>
    <t>Appendix III</t>
  </si>
  <si>
    <t>Appendix III Line #s, Descriptions, Notes, Form 1 Page #s and Instructions</t>
  </si>
  <si>
    <t>Project Name and CAISO Identification</t>
  </si>
  <si>
    <t>PacifiCorp</t>
  </si>
  <si>
    <t>dissimilar items with amounts exceeding $100,000 will be listed separately.  For ADIT directly related to project depreciation or CWIP, the balance must shown in a separate row for each project.</t>
  </si>
  <si>
    <t xml:space="preserve">   since they are recovered elsewhere.  Excludes other taxes associated with facilities leased to others that are charged to the lessee. </t>
  </si>
  <si>
    <t xml:space="preserve">Any plant leased to others will be removed from Plant In Service and booked to Leased Plant, Account 104.  Expenses charged to the lessee will be booked to Account No. 413 </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</si>
  <si>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</si>
  <si>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P</t>
  </si>
  <si>
    <t>DEPRECIATION EXPENSE  (Note P)</t>
  </si>
  <si>
    <t>GROSS PLANT IN SERVICE  (Note P)</t>
  </si>
  <si>
    <t>ACCUMULATED DEPRECIATION &amp; AMORTIZATION  (Note P)</t>
  </si>
  <si>
    <t>Excludes costs associated with Asset Retirement Obligations (ARO) absent a subsequent filing under FPA Section 205.</t>
  </si>
  <si>
    <t>p206.58.b less p206.57.b</t>
  </si>
  <si>
    <t>p207.58.g less p207.57.g</t>
  </si>
  <si>
    <t>p206.99.b lessp206.98.b</t>
  </si>
  <si>
    <t>p207.99.g lessp207.98.g</t>
  </si>
  <si>
    <t>10a</t>
  </si>
  <si>
    <t>10b</t>
  </si>
  <si>
    <t>10c</t>
  </si>
  <si>
    <t>10d</t>
  </si>
  <si>
    <t>10e</t>
  </si>
  <si>
    <t>10f</t>
  </si>
  <si>
    <t>10g</t>
  </si>
  <si>
    <t>10x</t>
  </si>
  <si>
    <t xml:space="preserve">Sum Of Net Plant, CWIP, Regulatory Asset and Abandoned Plant  </t>
  </si>
  <si>
    <t>Increased ROE (Basis Points) (Note 3)</t>
  </si>
  <si>
    <t>Note 3:  No incentive may be included in the formula absent authorization from FERC</t>
  </si>
  <si>
    <t>Incremental Rev Req at Increased ROE of Incentive Projects</t>
  </si>
  <si>
    <t xml:space="preserve">Col I less Col H for incentive Projects </t>
  </si>
  <si>
    <t>PBOP Expense in all O&amp;M and A&amp;G accounts for current year</t>
  </si>
  <si>
    <r>
      <t xml:space="preserve">Attachment 9 - </t>
    </r>
    <r>
      <rPr>
        <b/>
        <sz val="12"/>
        <color indexed="8"/>
        <rFont val="Arial MT"/>
      </rPr>
      <t>Depreciation and Amortization Rates</t>
    </r>
    <r>
      <rPr>
        <sz val="12"/>
        <rFont val="Arial MT"/>
      </rPr>
      <t xml:space="preserve"> </t>
    </r>
  </si>
  <si>
    <r>
      <t xml:space="preserve"> </t>
    </r>
    <r>
      <rPr>
        <sz val="12"/>
        <color indexed="8"/>
        <rFont val="Arial MT"/>
      </rPr>
      <t>Account Number</t>
    </r>
    <r>
      <rPr>
        <sz val="12"/>
        <rFont val="Arial MT"/>
      </rPr>
      <t xml:space="preserve"> </t>
    </r>
  </si>
  <si>
    <r>
      <t xml:space="preserve"> </t>
    </r>
    <r>
      <rPr>
        <sz val="12"/>
        <color indexed="8"/>
        <rFont val="Arial MT"/>
      </rPr>
      <t>FERC Account</t>
    </r>
    <r>
      <rPr>
        <sz val="12"/>
        <rFont val="Arial MT"/>
      </rPr>
      <t xml:space="preserve"> </t>
    </r>
  </si>
  <si>
    <r>
      <t xml:space="preserve"> </t>
    </r>
    <r>
      <rPr>
        <sz val="12"/>
        <color indexed="8"/>
        <rFont val="Arial MT"/>
      </rPr>
      <t>Rate (Annual)Percent</t>
    </r>
    <r>
      <rPr>
        <sz val="12"/>
        <rFont val="Arial MT"/>
      </rPr>
      <t xml:space="preserve"> </t>
    </r>
  </si>
  <si>
    <r>
      <t xml:space="preserve"> </t>
    </r>
    <r>
      <rPr>
        <sz val="12"/>
        <color indexed="8"/>
        <rFont val="Arial MT"/>
      </rPr>
      <t>Land Rights</t>
    </r>
    <r>
      <rPr>
        <sz val="12"/>
        <rFont val="Arial MT"/>
      </rPr>
      <t xml:space="preserve"> </t>
    </r>
  </si>
  <si>
    <r>
      <t xml:space="preserve"> </t>
    </r>
    <r>
      <rPr>
        <sz val="12"/>
        <color indexed="8"/>
        <rFont val="Arial MT"/>
      </rPr>
      <t>Structures and Improvements</t>
    </r>
    <r>
      <rPr>
        <sz val="12"/>
        <rFont val="Arial MT"/>
      </rPr>
      <t xml:space="preserve"> </t>
    </r>
  </si>
  <si>
    <r>
      <t xml:space="preserve"> </t>
    </r>
    <r>
      <rPr>
        <sz val="12"/>
        <color indexed="8"/>
        <rFont val="Arial MT"/>
      </rPr>
      <t>Structures and Improvements</t>
    </r>
    <r>
      <rPr>
        <sz val="12"/>
        <rFont val="Arial MT"/>
      </rPr>
      <t xml:space="preserve"> - Equipment</t>
    </r>
  </si>
  <si>
    <r>
      <t xml:space="preserve"> </t>
    </r>
    <r>
      <rPr>
        <sz val="12"/>
        <color indexed="8"/>
        <rFont val="Arial MT"/>
      </rPr>
      <t>Station Equipment</t>
    </r>
    <r>
      <rPr>
        <sz val="12"/>
        <rFont val="Arial MT"/>
      </rPr>
      <t xml:space="preserve"> </t>
    </r>
  </si>
  <si>
    <r>
      <t xml:space="preserve"> </t>
    </r>
    <r>
      <rPr>
        <sz val="12"/>
        <color indexed="8"/>
        <rFont val="Arial MT"/>
      </rPr>
      <t>354</t>
    </r>
    <r>
      <rPr>
        <sz val="12"/>
        <rFont val="Arial MT"/>
      </rPr>
      <t xml:space="preserve"> </t>
    </r>
  </si>
  <si>
    <r>
      <t xml:space="preserve"> </t>
    </r>
    <r>
      <rPr>
        <sz val="12"/>
        <color indexed="8"/>
        <rFont val="Arial MT"/>
      </rPr>
      <t>Towers and Fixtures</t>
    </r>
    <r>
      <rPr>
        <sz val="12"/>
        <rFont val="Arial MT"/>
      </rPr>
      <t xml:space="preserve"> </t>
    </r>
  </si>
  <si>
    <r>
      <t xml:space="preserve"> </t>
    </r>
    <r>
      <rPr>
        <sz val="12"/>
        <color indexed="8"/>
        <rFont val="Arial MT"/>
      </rPr>
      <t>355</t>
    </r>
    <r>
      <rPr>
        <sz val="12"/>
        <rFont val="Arial MT"/>
      </rPr>
      <t xml:space="preserve"> </t>
    </r>
  </si>
  <si>
    <r>
      <t xml:space="preserve"> </t>
    </r>
    <r>
      <rPr>
        <sz val="12"/>
        <color indexed="8"/>
        <rFont val="Arial MT"/>
      </rPr>
      <t>Poles and Fixtures</t>
    </r>
    <r>
      <rPr>
        <sz val="12"/>
        <rFont val="Arial MT"/>
      </rPr>
      <t xml:space="preserve"> </t>
    </r>
  </si>
  <si>
    <r>
      <t xml:space="preserve"> </t>
    </r>
    <r>
      <rPr>
        <sz val="12"/>
        <color indexed="8"/>
        <rFont val="Arial MT"/>
      </rPr>
      <t>356</t>
    </r>
    <r>
      <rPr>
        <sz val="12"/>
        <rFont val="Arial MT"/>
      </rPr>
      <t xml:space="preserve"> </t>
    </r>
  </si>
  <si>
    <r>
      <t xml:space="preserve"> </t>
    </r>
    <r>
      <rPr>
        <sz val="12"/>
        <color indexed="8"/>
        <rFont val="Arial MT"/>
      </rPr>
      <t>Overhead Conductor and Devices</t>
    </r>
    <r>
      <rPr>
        <sz val="12"/>
        <rFont val="Arial MT"/>
      </rPr>
      <t xml:space="preserve"> </t>
    </r>
  </si>
  <si>
    <r>
      <t xml:space="preserve"> </t>
    </r>
    <r>
      <rPr>
        <sz val="12"/>
        <color indexed="8"/>
        <rFont val="Arial MT"/>
      </rPr>
      <t>357</t>
    </r>
    <r>
      <rPr>
        <sz val="12"/>
        <rFont val="Arial MT"/>
      </rPr>
      <t xml:space="preserve"> </t>
    </r>
  </si>
  <si>
    <r>
      <t xml:space="preserve"> </t>
    </r>
    <r>
      <rPr>
        <sz val="12"/>
        <color indexed="8"/>
        <rFont val="Arial MT"/>
      </rPr>
      <t>Underground Conduit</t>
    </r>
    <r>
      <rPr>
        <sz val="12"/>
        <rFont val="Arial MT"/>
      </rPr>
      <t xml:space="preserve"> </t>
    </r>
  </si>
  <si>
    <r>
      <t xml:space="preserve"> </t>
    </r>
    <r>
      <rPr>
        <sz val="12"/>
        <color indexed="8"/>
        <rFont val="Arial MT"/>
      </rPr>
      <t>358</t>
    </r>
    <r>
      <rPr>
        <sz val="12"/>
        <rFont val="Arial MT"/>
      </rPr>
      <t xml:space="preserve"> </t>
    </r>
  </si>
  <si>
    <r>
      <t xml:space="preserve"> </t>
    </r>
    <r>
      <rPr>
        <sz val="12"/>
        <color indexed="8"/>
        <rFont val="Arial MT"/>
      </rPr>
      <t>Underground Conductor and Devices</t>
    </r>
    <r>
      <rPr>
        <sz val="12"/>
        <rFont val="Arial MT"/>
      </rPr>
      <t xml:space="preserve"> </t>
    </r>
  </si>
  <si>
    <r>
      <t xml:space="preserve"> </t>
    </r>
    <r>
      <rPr>
        <sz val="12"/>
        <color indexed="8"/>
        <rFont val="Arial MT"/>
      </rPr>
      <t>359</t>
    </r>
    <r>
      <rPr>
        <sz val="12"/>
        <rFont val="Arial MT"/>
      </rPr>
      <t xml:space="preserve"> </t>
    </r>
  </si>
  <si>
    <r>
      <t xml:space="preserve"> </t>
    </r>
    <r>
      <rPr>
        <sz val="12"/>
        <color indexed="8"/>
        <rFont val="Arial MT"/>
      </rPr>
      <t>Roads and Trails</t>
    </r>
    <r>
      <rPr>
        <sz val="12"/>
        <rFont val="Arial MT"/>
      </rPr>
      <t xml:space="preserve"> </t>
    </r>
  </si>
  <si>
    <r>
      <t xml:space="preserve"> </t>
    </r>
    <r>
      <rPr>
        <b/>
        <sz val="12"/>
        <color indexed="8"/>
        <rFont val="Arial MT"/>
      </rPr>
      <t>GENERAL PLANT</t>
    </r>
    <r>
      <rPr>
        <sz val="12"/>
        <rFont val="Arial MT"/>
      </rPr>
      <t xml:space="preserve"> </t>
    </r>
  </si>
  <si>
    <r>
      <t xml:space="preserve"> </t>
    </r>
    <r>
      <rPr>
        <sz val="12"/>
        <color indexed="8"/>
        <rFont val="Arial MT"/>
      </rPr>
      <t>390</t>
    </r>
    <r>
      <rPr>
        <sz val="12"/>
        <rFont val="Arial MT"/>
      </rPr>
      <t xml:space="preserve"> </t>
    </r>
  </si>
  <si>
    <r>
      <t xml:space="preserve"> </t>
    </r>
    <r>
      <rPr>
        <sz val="12"/>
        <color indexed="8"/>
        <rFont val="Arial MT"/>
      </rPr>
      <t>Structures &amp; Improvements</t>
    </r>
    <r>
      <rPr>
        <sz val="12"/>
        <rFont val="Arial MT"/>
      </rPr>
      <t xml:space="preserve"> </t>
    </r>
  </si>
  <si>
    <r>
      <t xml:space="preserve"> </t>
    </r>
    <r>
      <rPr>
        <sz val="12"/>
        <color indexed="8"/>
        <rFont val="Arial MT"/>
      </rPr>
      <t>2.13</t>
    </r>
    <r>
      <rPr>
        <sz val="12"/>
        <rFont val="Arial MT"/>
      </rPr>
      <t xml:space="preserve"> </t>
    </r>
  </si>
  <si>
    <r>
      <t xml:space="preserve"> </t>
    </r>
    <r>
      <rPr>
        <sz val="12"/>
        <color indexed="8"/>
        <rFont val="Arial MT"/>
      </rPr>
      <t>391</t>
    </r>
    <r>
      <rPr>
        <sz val="12"/>
        <rFont val="Arial MT"/>
      </rPr>
      <t xml:space="preserve"> </t>
    </r>
  </si>
  <si>
    <r>
      <t xml:space="preserve"> </t>
    </r>
    <r>
      <rPr>
        <sz val="12"/>
        <color indexed="8"/>
        <rFont val="Arial MT"/>
      </rPr>
      <t>Office Furniture &amp; Equipment</t>
    </r>
    <r>
      <rPr>
        <sz val="12"/>
        <rFont val="Arial MT"/>
      </rPr>
      <t xml:space="preserve"> </t>
    </r>
  </si>
  <si>
    <r>
      <t xml:space="preserve"> </t>
    </r>
    <r>
      <rPr>
        <sz val="12"/>
        <color indexed="8"/>
        <rFont val="Arial MT"/>
      </rPr>
      <t>9.72</t>
    </r>
    <r>
      <rPr>
        <sz val="12"/>
        <rFont val="Arial MT"/>
      </rPr>
      <t xml:space="preserve"> </t>
    </r>
  </si>
  <si>
    <r>
      <t xml:space="preserve"> </t>
    </r>
    <r>
      <rPr>
        <sz val="12"/>
        <color indexed="8"/>
        <rFont val="Arial MT"/>
      </rPr>
      <t>392</t>
    </r>
    <r>
      <rPr>
        <sz val="12"/>
        <rFont val="Arial MT"/>
      </rPr>
      <t xml:space="preserve"> </t>
    </r>
  </si>
  <si>
    <r>
      <t xml:space="preserve"> </t>
    </r>
    <r>
      <rPr>
        <sz val="12"/>
        <color indexed="8"/>
        <rFont val="Arial MT"/>
      </rPr>
      <t>Transportation Equipment</t>
    </r>
    <r>
      <rPr>
        <sz val="12"/>
        <rFont val="Arial MT"/>
      </rPr>
      <t xml:space="preserve"> </t>
    </r>
  </si>
  <si>
    <r>
      <t xml:space="preserve"> </t>
    </r>
    <r>
      <rPr>
        <sz val="12"/>
        <color indexed="8"/>
        <rFont val="Arial MT"/>
      </rPr>
      <t>7.14</t>
    </r>
    <r>
      <rPr>
        <sz val="12"/>
        <rFont val="Arial MT"/>
      </rPr>
      <t xml:space="preserve"> </t>
    </r>
  </si>
  <si>
    <r>
      <t xml:space="preserve"> </t>
    </r>
    <r>
      <rPr>
        <sz val="12"/>
        <color indexed="8"/>
        <rFont val="Arial MT"/>
      </rPr>
      <t>393</t>
    </r>
    <r>
      <rPr>
        <sz val="12"/>
        <rFont val="Arial MT"/>
      </rPr>
      <t xml:space="preserve"> </t>
    </r>
  </si>
  <si>
    <r>
      <t xml:space="preserve"> </t>
    </r>
    <r>
      <rPr>
        <sz val="12"/>
        <color indexed="8"/>
        <rFont val="Arial MT"/>
      </rPr>
      <t>Stores Equipment</t>
    </r>
    <r>
      <rPr>
        <sz val="12"/>
        <rFont val="Arial MT"/>
      </rPr>
      <t xml:space="preserve"> </t>
    </r>
  </si>
  <si>
    <r>
      <t xml:space="preserve"> </t>
    </r>
    <r>
      <rPr>
        <sz val="12"/>
        <color indexed="8"/>
        <rFont val="Arial MT"/>
      </rPr>
      <t>6.29</t>
    </r>
    <r>
      <rPr>
        <sz val="12"/>
        <rFont val="Arial MT"/>
      </rPr>
      <t xml:space="preserve"> </t>
    </r>
  </si>
  <si>
    <r>
      <t xml:space="preserve"> </t>
    </r>
    <r>
      <rPr>
        <sz val="12"/>
        <color indexed="8"/>
        <rFont val="Arial MT"/>
      </rPr>
      <t>394</t>
    </r>
    <r>
      <rPr>
        <sz val="12"/>
        <rFont val="Arial MT"/>
      </rPr>
      <t xml:space="preserve"> </t>
    </r>
  </si>
  <si>
    <r>
      <t xml:space="preserve"> </t>
    </r>
    <r>
      <rPr>
        <sz val="12"/>
        <color indexed="8"/>
        <rFont val="Arial MT"/>
      </rPr>
      <t>Tools, Shop &amp; Garage Equipment</t>
    </r>
    <r>
      <rPr>
        <sz val="12"/>
        <rFont val="Arial MT"/>
      </rPr>
      <t xml:space="preserve"> </t>
    </r>
  </si>
  <si>
    <r>
      <t xml:space="preserve"> </t>
    </r>
    <r>
      <rPr>
        <sz val="12"/>
        <color indexed="8"/>
        <rFont val="Arial MT"/>
      </rPr>
      <t>3.44</t>
    </r>
    <r>
      <rPr>
        <sz val="12"/>
        <rFont val="Arial MT"/>
      </rPr>
      <t xml:space="preserve"> </t>
    </r>
  </si>
  <si>
    <r>
      <t xml:space="preserve"> </t>
    </r>
    <r>
      <rPr>
        <sz val="12"/>
        <color indexed="8"/>
        <rFont val="Arial MT"/>
      </rPr>
      <t>395</t>
    </r>
    <r>
      <rPr>
        <sz val="12"/>
        <rFont val="Arial MT"/>
      </rPr>
      <t xml:space="preserve"> </t>
    </r>
  </si>
  <si>
    <r>
      <t xml:space="preserve"> </t>
    </r>
    <r>
      <rPr>
        <sz val="12"/>
        <color indexed="8"/>
        <rFont val="Arial MT"/>
      </rPr>
      <t>Laboratory Equipment</t>
    </r>
    <r>
      <rPr>
        <sz val="12"/>
        <rFont val="Arial MT"/>
      </rPr>
      <t xml:space="preserve"> </t>
    </r>
  </si>
  <si>
    <r>
      <t xml:space="preserve"> </t>
    </r>
    <r>
      <rPr>
        <sz val="12"/>
        <color indexed="8"/>
        <rFont val="Arial MT"/>
      </rPr>
      <t>8.09</t>
    </r>
    <r>
      <rPr>
        <sz val="12"/>
        <rFont val="Arial MT"/>
      </rPr>
      <t xml:space="preserve"> </t>
    </r>
  </si>
  <si>
    <r>
      <t xml:space="preserve"> </t>
    </r>
    <r>
      <rPr>
        <sz val="12"/>
        <color indexed="8"/>
        <rFont val="Arial MT"/>
      </rPr>
      <t>396</t>
    </r>
    <r>
      <rPr>
        <sz val="12"/>
        <rFont val="Arial MT"/>
      </rPr>
      <t xml:space="preserve"> </t>
    </r>
  </si>
  <si>
    <r>
      <t xml:space="preserve"> </t>
    </r>
    <r>
      <rPr>
        <sz val="12"/>
        <color indexed="8"/>
        <rFont val="Arial MT"/>
      </rPr>
      <t>Power Operated Equipment</t>
    </r>
    <r>
      <rPr>
        <sz val="12"/>
        <rFont val="Arial MT"/>
      </rPr>
      <t xml:space="preserve"> </t>
    </r>
  </si>
  <si>
    <r>
      <t xml:space="preserve"> </t>
    </r>
    <r>
      <rPr>
        <sz val="12"/>
        <color indexed="8"/>
        <rFont val="Arial MT"/>
      </rPr>
      <t>5.86</t>
    </r>
    <r>
      <rPr>
        <sz val="12"/>
        <rFont val="Arial MT"/>
      </rPr>
      <t xml:space="preserve"> </t>
    </r>
  </si>
  <si>
    <r>
      <t xml:space="preserve"> </t>
    </r>
    <r>
      <rPr>
        <sz val="12"/>
        <color indexed="8"/>
        <rFont val="Arial MT"/>
      </rPr>
      <t>397</t>
    </r>
    <r>
      <rPr>
        <sz val="12"/>
        <rFont val="Arial MT"/>
      </rPr>
      <t xml:space="preserve"> </t>
    </r>
  </si>
  <si>
    <r>
      <t xml:space="preserve"> </t>
    </r>
    <r>
      <rPr>
        <sz val="12"/>
        <color indexed="8"/>
        <rFont val="Arial MT"/>
      </rPr>
      <t>Communication Equipment</t>
    </r>
    <r>
      <rPr>
        <sz val="12"/>
        <rFont val="Arial MT"/>
      </rPr>
      <t xml:space="preserve"> </t>
    </r>
  </si>
  <si>
    <r>
      <t xml:space="preserve"> </t>
    </r>
    <r>
      <rPr>
        <sz val="12"/>
        <color indexed="8"/>
        <rFont val="Arial MT"/>
      </rPr>
      <t>398</t>
    </r>
    <r>
      <rPr>
        <sz val="12"/>
        <rFont val="Arial MT"/>
      </rPr>
      <t xml:space="preserve"> </t>
    </r>
  </si>
  <si>
    <r>
      <t xml:space="preserve"> </t>
    </r>
    <r>
      <rPr>
        <sz val="12"/>
        <color indexed="8"/>
        <rFont val="Arial MT"/>
      </rPr>
      <t>Miscellaneous Equipment</t>
    </r>
    <r>
      <rPr>
        <sz val="12"/>
        <rFont val="Arial MT"/>
      </rPr>
      <t xml:space="preserve"> </t>
    </r>
  </si>
  <si>
    <r>
      <t xml:space="preserve"> </t>
    </r>
    <r>
      <rPr>
        <b/>
        <sz val="12"/>
        <color indexed="8"/>
        <rFont val="Arial MT"/>
      </rPr>
      <t>INTANGIBLE PLANT</t>
    </r>
    <r>
      <rPr>
        <sz val="12"/>
        <rFont val="Arial MT"/>
      </rPr>
      <t xml:space="preserve"> </t>
    </r>
  </si>
  <si>
    <r>
      <t xml:space="preserve"> </t>
    </r>
    <r>
      <rPr>
        <sz val="12"/>
        <color indexed="8"/>
        <rFont val="Arial MT"/>
      </rPr>
      <t>303</t>
    </r>
    <r>
      <rPr>
        <sz val="12"/>
        <rFont val="Arial MT"/>
      </rPr>
      <t xml:space="preserve"> </t>
    </r>
  </si>
  <si>
    <r>
      <t xml:space="preserve"> </t>
    </r>
    <r>
      <rPr>
        <sz val="12"/>
        <color indexed="8"/>
        <rFont val="Arial MT"/>
      </rPr>
      <t>Miscellaneous Intangible Plant</t>
    </r>
    <r>
      <rPr>
        <sz val="12"/>
        <rFont val="Arial MT"/>
      </rPr>
      <t xml:space="preserve"> </t>
    </r>
  </si>
  <si>
    <r>
      <t xml:space="preserve"> </t>
    </r>
    <r>
      <rPr>
        <sz val="12"/>
        <color indexed="8"/>
        <rFont val="Arial MT"/>
      </rPr>
      <t>Note 1</t>
    </r>
    <r>
      <rPr>
        <sz val="12"/>
        <rFont val="Arial MT"/>
      </rPr>
      <t xml:space="preserve"> </t>
    </r>
  </si>
  <si>
    <r>
      <t xml:space="preserve"> </t>
    </r>
    <r>
      <rPr>
        <sz val="12"/>
        <color indexed="8"/>
        <rFont val="Arial MT"/>
      </rPr>
      <t>These depreciation rates will not change absent the appropriate filing at FERC.</t>
    </r>
    <r>
      <rPr>
        <sz val="12"/>
        <rFont val="Arial MT"/>
      </rPr>
      <t xml:space="preserve"> </t>
    </r>
  </si>
  <si>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</si>
  <si>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 xml:space="preserve">     7 Year Property</t>
  </si>
  <si>
    <t xml:space="preserve">     5 Year Property</t>
  </si>
  <si>
    <t xml:space="preserve">     10 Year Property</t>
  </si>
  <si>
    <r>
      <rPr>
        <sz val="12"/>
        <color indexed="8"/>
        <rFont val="Arial MT"/>
      </rPr>
      <t xml:space="preserve"> Transmission facility Contributions in Aid of Construction</t>
    </r>
    <r>
      <rPr>
        <sz val="12"/>
        <rFont val="Arial MT"/>
      </rPr>
      <t xml:space="preserve"> </t>
    </r>
  </si>
  <si>
    <t>Total Amount of True-Up Adjustment for Year</t>
  </si>
  <si>
    <t>Total Amount of Construction Loan Related True-Up with Interest (Refund)/Owed</t>
  </si>
  <si>
    <t>Over (Under) Recovery             Col. (d) less Col. (e)</t>
  </si>
  <si>
    <t>(h)</t>
  </si>
  <si>
    <t>(g)</t>
  </si>
  <si>
    <t>(f)</t>
  </si>
  <si>
    <t>(e)</t>
  </si>
  <si>
    <t>(d)</t>
  </si>
  <si>
    <t>(c)</t>
  </si>
  <si>
    <t>(b)</t>
  </si>
  <si>
    <t>Hypothetical Example of Final True-Up of Interest Rates and Interest Calculations for the Construction Loan</t>
  </si>
  <si>
    <t>Calculation of Interest for True-Up Period</t>
  </si>
  <si>
    <t>Attachment 8</t>
  </si>
  <si>
    <t xml:space="preserve">Over (Under) Recovery </t>
  </si>
  <si>
    <t>*  Assumes that the construction loan is retired on June, 2020</t>
  </si>
  <si>
    <t>FERC has authorized incentives for the following projects:</t>
  </si>
  <si>
    <t>Project</t>
  </si>
  <si>
    <t>This Attachment is no longer in use as of ________</t>
  </si>
  <si>
    <t>Formula Rate Index</t>
  </si>
  <si>
    <t xml:space="preserve">Attachment </t>
  </si>
  <si>
    <t xml:space="preserve">Appendix </t>
  </si>
  <si>
    <t>III</t>
  </si>
  <si>
    <t>Main Body of the Formula</t>
  </si>
  <si>
    <t>Cost Support</t>
  </si>
  <si>
    <t>Transmission Enhancement Worksheet</t>
  </si>
  <si>
    <t>Incentives Worksheet</t>
  </si>
  <si>
    <t>Revenue Credit Worksheet</t>
  </si>
  <si>
    <t>Construction Financing Worksheet</t>
  </si>
  <si>
    <t>Beginning of Year ADIT</t>
  </si>
  <si>
    <t>End of Year ADIT</t>
  </si>
  <si>
    <t>Depreciation Rates</t>
  </si>
  <si>
    <t>6a</t>
  </si>
  <si>
    <t>6b</t>
  </si>
  <si>
    <t>7</t>
  </si>
  <si>
    <t>True-Up</t>
  </si>
  <si>
    <t>True-up</t>
  </si>
  <si>
    <t>Construction Loan True-up</t>
  </si>
  <si>
    <t xml:space="preserve">Note 4: To the extent that the stated incenitive return is limited by the top of the range of reasonableness, the returns on equity applied to the various projects and facilities shall not produce an overall company return exceeding the top of the range of reasonableness. </t>
  </si>
  <si>
    <t xml:space="preserve"> Financing Costs  for Long Term Debt using the Internal Rate of Return Methodology </t>
  </si>
  <si>
    <t>To be utilized until an entire project is placed in service</t>
  </si>
  <si>
    <t>Table 1</t>
  </si>
  <si>
    <t>Table 2</t>
  </si>
  <si>
    <t>Internal Rate of Return (Note 1)</t>
  </si>
  <si>
    <r>
      <t>Based on following Financial Formula (Note 2)</t>
    </r>
    <r>
      <rPr>
        <b/>
        <sz val="10"/>
        <rFont val="Times New Roman"/>
        <family val="1"/>
      </rPr>
      <t>:</t>
    </r>
  </si>
  <si>
    <t>Table 3</t>
  </si>
  <si>
    <t>Rates/Fees</t>
  </si>
  <si>
    <t>15a</t>
  </si>
  <si>
    <t>Table 4</t>
  </si>
  <si>
    <t>Table 5</t>
  </si>
  <si>
    <t>Quarterly Construction Expenditures       ($000's)</t>
  </si>
  <si>
    <t>Principle Drawn In Quarter ($000's)</t>
  </si>
  <si>
    <t>Principle Drawn To Date ($000's)</t>
  </si>
  <si>
    <t>Interest &amp; Principal Payments ($000's)</t>
  </si>
  <si>
    <t>Commitment, Utilization &amp; Ratings Fees ($000's)</t>
  </si>
  <si>
    <t>Estimated</t>
  </si>
  <si>
    <t>Cumulative Col. D</t>
  </si>
  <si>
    <t>Interest Rate from Line 25 (Note 3)</t>
  </si>
  <si>
    <t>Input in first Qtr of Loan, Line 16</t>
  </si>
  <si>
    <t>Notes</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</si>
  <si>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</si>
  <si>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</si>
  <si>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</si>
  <si>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</si>
  <si>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</si>
  <si>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</si>
  <si>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6.  Table 5, Col. C reflect the capital expenditures in each quarter </t>
  </si>
  <si>
    <t>9.  Table 5, Col. H is calculated as follows:</t>
  </si>
  <si>
    <t>A.</t>
  </si>
  <si>
    <t>Loan amount in line 1 less the amount drawn down in the prior quarter</t>
  </si>
  <si>
    <t>B.</t>
  </si>
  <si>
    <t>C.</t>
  </si>
  <si>
    <t>Percentage dollar amounts divided by 1000 (applied in the quarters the payments are made)</t>
  </si>
  <si>
    <t xml:space="preserve">10.  The inputs shall be estimated based on the current market conditions and is subject to true up for all inputs , e.g., fees, interest rates, spread, and Table 4 once the </t>
  </si>
  <si>
    <t>Attachment 5</t>
  </si>
  <si>
    <t xml:space="preserve"> Utilizing Appendix III Data</t>
  </si>
  <si>
    <t>(A x B) +C</t>
  </si>
  <si>
    <t>Forecasted O&amp;M Detail, worksheet prepared for each project</t>
  </si>
  <si>
    <t>Ln</t>
  </si>
  <si>
    <t>FERC Account Description</t>
  </si>
  <si>
    <t>Account</t>
  </si>
  <si>
    <t>Non-Labor $</t>
  </si>
  <si>
    <t>MCCT Internal Labor</t>
  </si>
  <si>
    <t>Project No. 2</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</si>
  <si>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</si>
  <si>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</si>
  <si>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</si>
  <si>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</si>
  <si>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</si>
  <si>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</si>
  <si>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</si>
  <si>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</si>
  <si>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</si>
  <si>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</si>
  <si>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</si>
  <si>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Department</t>
  </si>
  <si>
    <t>Charging MCCT</t>
  </si>
  <si>
    <t>CEC Portion of O&amp;M</t>
  </si>
  <si>
    <t>Property Tax Detail</t>
  </si>
  <si>
    <t>CEC Portion of Property Tax</t>
  </si>
  <si>
    <t>O&amp;M invoiced by PG&amp;E by Project</t>
  </si>
  <si>
    <t>Other (Specify)</t>
  </si>
  <si>
    <t>….</t>
  </si>
  <si>
    <t>Revenue Credit to Attachment 1</t>
  </si>
  <si>
    <t xml:space="preserve">  or liabilities related to FASB 158 or 109.  Balance of Account 255 is reduced by prior flow throughs and excluded if the utility </t>
  </si>
  <si>
    <t xml:space="preserve">Line 35 excludes all Regulatory Commission Expenses itemized at 351.h, </t>
  </si>
  <si>
    <t xml:space="preserve">  all EEI and EPRI due and expenses</t>
  </si>
  <si>
    <t xml:space="preserve">  amounts are known. Until know, the spread shall be 2.5%</t>
  </si>
  <si>
    <t>21x</t>
  </si>
  <si>
    <t xml:space="preserve">4.  Lines 10 through 21x include the fees associated with the loan.  They are estimated based on current bank condition and are updated with the actual fees </t>
  </si>
  <si>
    <t>(Note 9)</t>
  </si>
  <si>
    <t xml:space="preserve">Assumes financing will be a 4 year loan with Origination Fees of $1.7 million and a Commitments Fee of .35% on $250,000,000.  However, the actual terms, conditions, and duration of the loan may vary depending on such factors as market conditions and the scheduling of the project.  </t>
  </si>
  <si>
    <t>Form No.1</t>
  </si>
  <si>
    <t>Description</t>
  </si>
  <si>
    <t>Reference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</si>
  <si>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</si>
  <si>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</si>
  <si>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</si>
  <si>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</si>
  <si>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</si>
  <si>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</si>
  <si>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</si>
  <si>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</si>
  <si>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</si>
  <si>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</si>
  <si>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</si>
  <si>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</si>
  <si>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</si>
  <si>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</si>
  <si>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</si>
  <si>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</si>
  <si>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</si>
  <si>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</si>
  <si>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</si>
  <si>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</si>
  <si>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</si>
  <si>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</si>
  <si>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</si>
  <si>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</si>
  <si>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</si>
  <si>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</si>
  <si>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</si>
  <si>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</si>
  <si>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</si>
  <si>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</si>
  <si>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</si>
  <si>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</si>
  <si>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</si>
  <si>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</si>
  <si>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</si>
  <si>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</si>
  <si>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</si>
  <si>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</si>
  <si>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</si>
  <si>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</si>
  <si>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</si>
  <si>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</si>
  <si>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</si>
  <si>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</si>
  <si>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</si>
  <si>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</si>
  <si>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</si>
  <si>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</si>
  <si>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</si>
  <si>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</si>
  <si>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</si>
  <si>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</si>
  <si>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     20 Year Property</t>
  </si>
  <si>
    <t xml:space="preserve">Note 2:  The 100 basis points is used to calculate the change in the carrying charge if an incentive is apporved by the Commission and does not reflect what ultimately the Commission might approve as an incentive </t>
  </si>
  <si>
    <t xml:space="preserve">               ROE adder for a specific transmission project.</t>
  </si>
  <si>
    <t>Note 1:   No incentive may be included in the formula absent authorization from FERC</t>
  </si>
  <si>
    <t>Actual Net Revenue Requirement if the Cost of Debt in Col. (c) had been Used</t>
  </si>
  <si>
    <t>Q</t>
  </si>
  <si>
    <t xml:space="preserve">Amount of CVT Project O&amp;M booked to Account 413 </t>
  </si>
  <si>
    <t>CVT Project</t>
  </si>
  <si>
    <t>Construction Loan True Up</t>
  </si>
  <si>
    <t>O&amp;M associated with CVT Project</t>
  </si>
  <si>
    <t>calculated (1/8 * Line 38)</t>
  </si>
  <si>
    <t>(Appendix III, line 65)</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</si>
  <si>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</si>
  <si>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Actual O&amp;M Detail, worksheet prepared for each project</t>
  </si>
  <si>
    <t>Depreciation</t>
  </si>
  <si>
    <t>CEC Gross Plant Investment in CVT Project thru lease pmt to MCCT</t>
  </si>
  <si>
    <t>MCCT Gross Plant Investment in CVT Project, excluding amount leased to CEC</t>
  </si>
  <si>
    <t>Account 413</t>
  </si>
  <si>
    <t>Partner</t>
  </si>
  <si>
    <t>Partner Amount</t>
  </si>
  <si>
    <t>Property Taxes</t>
  </si>
  <si>
    <t>Specify Other</t>
  </si>
  <si>
    <t>Total O&amp;M booked to Account 413</t>
  </si>
  <si>
    <t>Total Other booked to Account 413</t>
  </si>
  <si>
    <t xml:space="preserve">Operation supervision and engineering. </t>
  </si>
  <si>
    <t xml:space="preserve"> Load dispatch—Reliability. </t>
  </si>
  <si>
    <t xml:space="preserve">Load dispatch—Monitor and operate transmission system. </t>
  </si>
  <si>
    <t xml:space="preserve">Load dispatch—Transmission service and scheduling. </t>
  </si>
  <si>
    <t xml:space="preserve">Scheduling, system control and dispatch services. </t>
  </si>
  <si>
    <t xml:space="preserve">Reliability planning and standards development. </t>
  </si>
  <si>
    <t xml:space="preserve">Transmission service studies. </t>
  </si>
  <si>
    <t xml:space="preserve">Generation interconnection studies. </t>
  </si>
  <si>
    <t xml:space="preserve">Reliability planning and standards development services. </t>
  </si>
  <si>
    <t xml:space="preserve">Rents. </t>
  </si>
  <si>
    <t xml:space="preserve">Maintenance of computer hardware. </t>
  </si>
  <si>
    <t xml:space="preserve">Maintenance of computer software. </t>
  </si>
  <si>
    <t xml:space="preserve">Maintenance of communication equipment. </t>
  </si>
  <si>
    <t xml:space="preserve">Maintenance of miscellaneous regional transmission plant. </t>
  </si>
  <si>
    <t xml:space="preserve">Station expenses  . </t>
  </si>
  <si>
    <t xml:space="preserve">Overhead line expense  . </t>
  </si>
  <si>
    <t xml:space="preserve">Underground line expenses  . </t>
  </si>
  <si>
    <t xml:space="preserve">Transmission of electricity by others  . </t>
  </si>
  <si>
    <t xml:space="preserve">Miscellaneous transmission expenses  . </t>
  </si>
  <si>
    <t xml:space="preserve">Maintenance supervision and engineering  . </t>
  </si>
  <si>
    <t xml:space="preserve">Maintenance of structures  . </t>
  </si>
  <si>
    <t xml:space="preserve">Maintenance of station equipment  . </t>
  </si>
  <si>
    <t xml:space="preserve">Maintenance of overhead lines  . </t>
  </si>
  <si>
    <t xml:space="preserve">Maintenance of underground lines  . </t>
  </si>
  <si>
    <t>Partner means another entity with whom MCCT has partnered to build a project</t>
  </si>
  <si>
    <t xml:space="preserve"> Administrative and general salaries.</t>
  </si>
  <si>
    <t xml:space="preserve"> Office supplies and expenses.</t>
  </si>
  <si>
    <t xml:space="preserve"> Administrative expenses transferred—Credit.</t>
  </si>
  <si>
    <t xml:space="preserve"> Outside services employed.</t>
  </si>
  <si>
    <t xml:space="preserve"> Property insurance.</t>
  </si>
  <si>
    <t xml:space="preserve"> Injuries and damages.</t>
  </si>
  <si>
    <t xml:space="preserve"> Employee pensions and benefits.</t>
  </si>
  <si>
    <t xml:space="preserve"> Franchise requirements.</t>
  </si>
  <si>
    <t xml:space="preserve"> Regulatory commission expenses.</t>
  </si>
  <si>
    <t xml:space="preserve"> Duplicate charges—Credit.</t>
  </si>
  <si>
    <t xml:space="preserve"> General advertising expenses.</t>
  </si>
  <si>
    <t xml:space="preserve"> Miscellaneous general expenses.</t>
  </si>
  <si>
    <t xml:space="preserve"> Rents.</t>
  </si>
  <si>
    <t xml:space="preserve"> Transportation expenses (Nonmajor only).</t>
  </si>
  <si>
    <t xml:space="preserve"> Maintenance of general plant.</t>
  </si>
  <si>
    <t>Forecasted A&amp;G Detail, worksheet prepared for MCCT</t>
  </si>
  <si>
    <t>The Detailed Breakout above will provide the level of detail available, by FERC account number if available.</t>
  </si>
  <si>
    <t>Detailed Breakout</t>
  </si>
  <si>
    <t>Moved to Account 413</t>
  </si>
  <si>
    <r>
      <t>MCCT Internal Labor</t>
    </r>
    <r>
      <rPr>
        <vertAlign val="superscript"/>
        <sz val="10"/>
        <rFont val="Arial Narrow"/>
        <family val="2"/>
      </rPr>
      <t>1</t>
    </r>
  </si>
  <si>
    <r>
      <t>Non-Labor</t>
    </r>
    <r>
      <rPr>
        <vertAlign val="superscript"/>
        <sz val="10"/>
        <rFont val="Arial Narrow"/>
        <family val="2"/>
      </rPr>
      <t>1</t>
    </r>
  </si>
  <si>
    <r>
      <rPr>
        <vertAlign val="superscript"/>
        <sz val="10"/>
        <rFont val="Arial"/>
        <family val="2"/>
      </rPr>
      <t>1</t>
    </r>
    <r>
      <rPr>
        <sz val="10"/>
        <rFont val="Arial"/>
        <family val="2"/>
      </rPr>
      <t xml:space="preserve"> Represents MCCT's portion after sharing with partner</t>
    </r>
  </si>
  <si>
    <r>
      <t>Partner Amount</t>
    </r>
    <r>
      <rPr>
        <vertAlign val="superscript"/>
        <sz val="10"/>
        <rFont val="Arial Narrow"/>
        <family val="2"/>
      </rPr>
      <t>1</t>
    </r>
  </si>
  <si>
    <r>
      <t xml:space="preserve">Amount of CVT Project Property Tax </t>
    </r>
    <r>
      <rPr>
        <sz val="12"/>
        <rFont val="Arial MT"/>
      </rPr>
      <t>booked to Account 408.1</t>
    </r>
  </si>
  <si>
    <t>Detail of Account 413 and 408.1</t>
  </si>
  <si>
    <t>Total Property Taxes booked to Account 408.1</t>
  </si>
  <si>
    <t>Attachment 8 - Hypothetical Example of Final True-Up of Interest Rates and Interest Calculations for the Construction Loan</t>
  </si>
  <si>
    <t xml:space="preserve">     The rates for the year following the Rate Year will be based on the Bloomberg Forward Curve 23 available on August 3, 2015.  The rate for the Rate Year will be trued up each year to equal the </t>
  </si>
  <si>
    <t>     average LIBOR 1-month rate published on the first business day of each month during the Rate Year.  The published rates for August and the true-up are available at: </t>
  </si>
  <si>
    <t>Workpaper 1 -O&amp;M Detail</t>
  </si>
  <si>
    <t>Actual A&amp;G Detail, worksheet prepared for MCCT</t>
  </si>
  <si>
    <t>Estimated Capital Additions</t>
  </si>
  <si>
    <t>Workpaper 4 -Affiliate Charges</t>
  </si>
  <si>
    <t>Actuals for Year</t>
  </si>
  <si>
    <t>Workpaper 2 - A&amp;G Detail</t>
  </si>
  <si>
    <t>O&amp;M Detail</t>
  </si>
  <si>
    <t>Total Booked to Account 413 and 408.1</t>
  </si>
  <si>
    <t>Source of O&amp;M For CVT Project</t>
  </si>
  <si>
    <t>Revenue Credits from Attachment 10 and not in lines 1 to 5</t>
  </si>
  <si>
    <r>
      <t>Amount Billed CEC</t>
    </r>
    <r>
      <rPr>
        <sz val="12"/>
        <color rgb="FFFF0000"/>
        <rFont val="Arial MT"/>
      </rPr>
      <t xml:space="preserve"> </t>
    </r>
  </si>
  <si>
    <t>Account 412</t>
  </si>
  <si>
    <t xml:space="preserve">(c) </t>
  </si>
  <si>
    <t xml:space="preserve">(e) </t>
  </si>
  <si>
    <t>Recovery Amount Approved (1)</t>
  </si>
  <si>
    <t>÷</t>
  </si>
  <si>
    <t>Recovery Period (Months) (1)</t>
  </si>
  <si>
    <t>Monthly Amort. Expense</t>
  </si>
  <si>
    <t>×</t>
  </si>
  <si>
    <t>Amort. Periods This Year</t>
  </si>
  <si>
    <t>Current Year Amort. Expense</t>
  </si>
  <si>
    <t>(i)</t>
  </si>
  <si>
    <t>(j)</t>
  </si>
  <si>
    <t>(k)</t>
  </si>
  <si>
    <t>(l)</t>
  </si>
  <si>
    <t>(m)</t>
  </si>
  <si>
    <t>(n)</t>
  </si>
  <si>
    <t>(o)</t>
  </si>
  <si>
    <t>(p)</t>
  </si>
  <si>
    <t>(q)</t>
  </si>
  <si>
    <t xml:space="preserve">(r) </t>
  </si>
  <si>
    <t>(s)</t>
  </si>
  <si>
    <t>(t)</t>
  </si>
  <si>
    <t>(u)</t>
  </si>
  <si>
    <t>Construction Start Date</t>
  </si>
  <si>
    <t>Estimated In-Service Date</t>
  </si>
  <si>
    <t>Approval Docket No.</t>
  </si>
  <si>
    <t>Dec. 31</t>
  </si>
  <si>
    <t>Jan. 31</t>
  </si>
  <si>
    <t>Feb. 28/29</t>
  </si>
  <si>
    <t>Mar. 31</t>
  </si>
  <si>
    <t>Jun. 30</t>
  </si>
  <si>
    <t>May 31</t>
  </si>
  <si>
    <t>Jul. 31</t>
  </si>
  <si>
    <t>Aug. 31</t>
  </si>
  <si>
    <t>Sept. 30</t>
  </si>
  <si>
    <t>Oct. 31</t>
  </si>
  <si>
    <t>Nov. 30</t>
  </si>
  <si>
    <t>Average Balance of Columns (f) through (r)</t>
  </si>
  <si>
    <t>% Approved for Recovery (2)</t>
  </si>
  <si>
    <t>Rate Base Amount</t>
  </si>
  <si>
    <t>Notes:</t>
  </si>
  <si>
    <t>1b</t>
  </si>
  <si>
    <t>1c</t>
  </si>
  <si>
    <t>3a</t>
  </si>
  <si>
    <t>3b</t>
  </si>
  <si>
    <t>3c</t>
  </si>
  <si>
    <t>3x</t>
  </si>
  <si>
    <t>Account 104</t>
  </si>
  <si>
    <t>e</t>
  </si>
  <si>
    <t>d</t>
  </si>
  <si>
    <t>c</t>
  </si>
  <si>
    <t>Account 408.1</t>
  </si>
  <si>
    <t>b</t>
  </si>
  <si>
    <t>a</t>
  </si>
  <si>
    <t>Form 1 reference for Total</t>
  </si>
  <si>
    <t>Note 1, line c</t>
  </si>
  <si>
    <t xml:space="preserve">Depreciation  </t>
  </si>
  <si>
    <t>Other Taxes Related to CVT Project    (Note 1, line b)</t>
  </si>
  <si>
    <t>O&amp;M related to CVT Project      (Note 1, line a)</t>
  </si>
  <si>
    <t>(line 16)</t>
  </si>
  <si>
    <t>(line 6 * (line 7 / (line 7 + line 8)))</t>
  </si>
  <si>
    <t>(line 2)</t>
  </si>
  <si>
    <t>Note 1, line b</t>
  </si>
  <si>
    <t>Property Tax associated with CVT Project</t>
  </si>
  <si>
    <t>(line 15)</t>
  </si>
  <si>
    <t>(line 1 * ((line 2 / (line 2 + line 3)))</t>
  </si>
  <si>
    <t>Note 1, line e</t>
  </si>
  <si>
    <t>Page 115, col (k)</t>
  </si>
  <si>
    <t>Page 200, line 4, col (b)</t>
  </si>
  <si>
    <t>Page 207, line 56, col (g)</t>
  </si>
  <si>
    <t>Plant in Service end of year balance</t>
  </si>
  <si>
    <t>Note: Line 3 is for the relevant expense period, not end of year</t>
  </si>
  <si>
    <t>Note: Line 8 is for the relevant expense period, not end of year</t>
  </si>
  <si>
    <t>Page 263 col (i)</t>
  </si>
  <si>
    <t>(line 5)</t>
  </si>
  <si>
    <t>(line 10)</t>
  </si>
  <si>
    <t>(line 24 + line 25)</t>
  </si>
  <si>
    <t>(line 27 - line 26)</t>
  </si>
  <si>
    <t>Total Other than Depreciation booked to Account 413 and 408.1  (sum lines 20-22)</t>
  </si>
  <si>
    <t xml:space="preserve">O&amp;M invoiced to CEC through Account 413  </t>
  </si>
  <si>
    <t>Not booked to Account 413   (sum lines 11 - 13)</t>
  </si>
  <si>
    <t>(From PG&amp;E invoices)</t>
  </si>
  <si>
    <t>(line 14 - line 13)</t>
  </si>
  <si>
    <t>CVT Lease Details</t>
  </si>
  <si>
    <t>Reg Asset, Abandoned Plant and CWIP in Rate Base Details</t>
  </si>
  <si>
    <t>Populated with hypothetical data</t>
  </si>
  <si>
    <t>Poles</t>
  </si>
  <si>
    <t>Towers</t>
  </si>
  <si>
    <t>Station Equip</t>
  </si>
  <si>
    <t>CVT</t>
  </si>
  <si>
    <t>Conductors</t>
  </si>
  <si>
    <t>Land</t>
  </si>
  <si>
    <t>18a</t>
  </si>
  <si>
    <t>18b</t>
  </si>
  <si>
    <t>18c</t>
  </si>
  <si>
    <t>O&amp;M internal labor and expenses incurred by MCCT, MCCT Portion (after billing 50% to PG&amp;E) (invoices to PG&amp;E)</t>
  </si>
  <si>
    <t xml:space="preserve">  (State Income Tax Rate or Composite SIT from Attachment 2)</t>
  </si>
  <si>
    <t xml:space="preserve">The return on incentive projects will be calculated on Attachments 3 and 4 and input on line 66. The capital structure shown on lines 80-83 will be 52% equity and 48% debt until project is placed into service.  After the project is placed in service, the capital structure on lines 80-83 will reflect the actual capital structure.        </t>
  </si>
  <si>
    <t xml:space="preserve">The regulatory assets will accrue carrying costs equal to the weighted cost of capital on line 83 until the formula rate is effective as the resulting charges are assessed customers. </t>
  </si>
  <si>
    <t>and the accumulated depreciation associated with the leased plant shall not be included above on lines 9-11</t>
  </si>
  <si>
    <t>Amount  in Appendix III, Line 66</t>
  </si>
  <si>
    <t>Note 3, line 11</t>
  </si>
  <si>
    <t>Appendix III, line 30</t>
  </si>
  <si>
    <t>Appendix III, line 80</t>
  </si>
  <si>
    <t>Appendix III, line 81</t>
  </si>
  <si>
    <t xml:space="preserve">  Common Stock  Including 100 basis points    Appendix III, line 82</t>
  </si>
  <si>
    <t>2.  The IRR is a discount rate that makes the net present value of a series of cash flows equal to zero.  The IRR equation is shown on line 6.</t>
  </si>
  <si>
    <t xml:space="preserve">5.  Line 23 is the LIBOR 1-month rate published on the Wall Street Journal’s public site for the first business day of August during the year immediately prior to the Rate Year for the forecasted rates. </t>
  </si>
  <si>
    <t>Annual dollar amount fees on lines 10 through 21a divided by 4 (divided by to convert annual amounts to quarterly amounts)</t>
  </si>
  <si>
    <t xml:space="preserve">  on Appendix III, line 80.</t>
  </si>
  <si>
    <t xml:space="preserve">11.  The interest rate in line 25 for the corresponding year is used in Appendix III, line 80 until the project financing is obtained.  Thereafter the interest rate in line 2 is used </t>
  </si>
  <si>
    <t>Attachment 6a</t>
  </si>
  <si>
    <t>CEC Invoices</t>
  </si>
  <si>
    <t>Note 1, line d but for relevant period</t>
  </si>
  <si>
    <t>Sum Of Net Transmission Plant, CWIP in Rate Base, Regulatory Asset and Unamortized Abandoned Plant</t>
  </si>
  <si>
    <t>Rev Requirement before Incentive Projects</t>
  </si>
  <si>
    <t>Cost of Debt for the Construction Loan Calculated on Attachment 5 line 2 Once the Load is Paid Off:</t>
  </si>
  <si>
    <t>Add additional columns if there is more than one partner</t>
  </si>
  <si>
    <t>Total  (sum lines 1-1x)</t>
  </si>
  <si>
    <t>Total  (sum line 3-3x)</t>
  </si>
  <si>
    <r>
      <t xml:space="preserve"> </t>
    </r>
    <r>
      <rPr>
        <b/>
        <sz val="11"/>
        <color indexed="8"/>
        <rFont val="Arial Narrow"/>
        <family val="2"/>
      </rPr>
      <t>MidAmerican Central California Transco, LLC</t>
    </r>
    <r>
      <rPr>
        <sz val="11"/>
        <rFont val="Arial Narrow"/>
        <family val="2"/>
      </rPr>
      <t xml:space="preserve"> </t>
    </r>
  </si>
  <si>
    <t>353.1</t>
  </si>
  <si>
    <t>352.1</t>
  </si>
  <si>
    <t>352.2</t>
  </si>
  <si>
    <t>353.2</t>
  </si>
  <si>
    <t>EPRI &amp; EEI Costs</t>
  </si>
  <si>
    <t>(v)</t>
  </si>
  <si>
    <t>(w)</t>
  </si>
  <si>
    <t>(x)</t>
  </si>
  <si>
    <t>(y)</t>
  </si>
  <si>
    <t>(z)</t>
  </si>
  <si>
    <t>(aa)</t>
  </si>
  <si>
    <t>% Allocable to Formula Rate (1)</t>
  </si>
  <si>
    <t>Amort. Expense in Formula Rate</t>
  </si>
  <si>
    <t>Average Unamortized Balance (3)</t>
  </si>
  <si>
    <t>% Approved for Rate Base Treatment (1)</t>
  </si>
  <si>
    <t>Allocable to Formula Rate (4)</t>
  </si>
  <si>
    <t>Rate Base Balance</t>
  </si>
  <si>
    <t>Internal ID or Code</t>
  </si>
  <si>
    <t>Docket No.</t>
  </si>
  <si>
    <t>Pre-commercial expenses</t>
  </si>
  <si>
    <t>Total Regulatory Asset and Abandoned Plant Amortization Expense:</t>
  </si>
  <si>
    <t>General Note:  The source for monthly balance data on this page are company records.  Amounts shown are total amounts.</t>
  </si>
  <si>
    <t>NOTES:</t>
  </si>
  <si>
    <r>
      <t xml:space="preserve">Average balance calculated as [sum of columns (h) through (t)] </t>
    </r>
    <r>
      <rPr>
        <sz val="8"/>
        <color theme="1"/>
        <rFont val="Calibri"/>
        <family val="2"/>
      </rPr>
      <t>÷</t>
    </r>
    <r>
      <rPr>
        <sz val="8"/>
        <color theme="1"/>
        <rFont val="Arial"/>
        <family val="2"/>
      </rPr>
      <t>13.</t>
    </r>
  </si>
  <si>
    <t xml:space="preserve">Equals column (g). </t>
  </si>
  <si>
    <t>Subaccount No. (1)</t>
  </si>
  <si>
    <t>Item Description</t>
  </si>
  <si>
    <t>Average of Columns (c) Through (o)</t>
  </si>
  <si>
    <t>% Customer Funded</t>
  </si>
  <si>
    <t>% Non-Restricted</t>
  </si>
  <si>
    <t>Balance in Rate Base</t>
  </si>
  <si>
    <t>Total Company-Wide Reserves:</t>
  </si>
  <si>
    <t>Total Unfunded Reserves in Rate Base:</t>
  </si>
  <si>
    <r>
      <t>MCCT must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t>
    </r>
    <r>
      <rPr>
        <i/>
        <sz val="8"/>
        <color theme="1"/>
        <rFont val="Arial"/>
        <family val="2"/>
      </rPr>
      <t>e.g.</t>
    </r>
    <r>
      <rPr>
        <sz val="8"/>
        <color theme="1"/>
        <rFont val="Arial"/>
        <family val="2"/>
      </rPr>
      <t>, set aside in an escrow account) with the earnings thereon retained within that account.  Where a given reserve is only partially funded through accruals collected from customers, only the balance funded by customer collections shall serve as a rate base credit.  The source of monthly balance data is company records.</t>
    </r>
  </si>
  <si>
    <t>Attachment 11</t>
  </si>
  <si>
    <t>All amortizations of the Regulatory Asset are to be booked to Account 566 over the period authorized by the Commission in the Docket Nos. listed below.</t>
  </si>
  <si>
    <t>MEHC (and its subsidiaries that use the same PBOP actuarial study)</t>
  </si>
  <si>
    <t>336.7.b</t>
  </si>
  <si>
    <t>336.1.d&amp;e + 336.10.b</t>
  </si>
  <si>
    <t xml:space="preserve">  all advertising  included in Account 930.1 (except safety, education or out-reach related advertising) and </t>
  </si>
  <si>
    <t xml:space="preserve">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</si>
  <si>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Attachment 7 (and Attachment 8 subject to Note Q)</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</si>
  <si>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</si>
  <si>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 xml:space="preserve">  (recovery of abandoned plant requires a FERC order approving the amount and recovery period and Attachment 11 being completed)</t>
  </si>
  <si>
    <t>EPRI and EEI dues and expenses to be excluded from the formula rate</t>
  </si>
  <si>
    <t>128a</t>
  </si>
  <si>
    <t>List EPRI and EEI dues and expenses</t>
  </si>
  <si>
    <t>Pursuant to Attachment 11</t>
  </si>
  <si>
    <t>Attachment 11 must be completed before including regulatory assets as inputs to the formula</t>
  </si>
  <si>
    <t>Job ID</t>
  </si>
  <si>
    <t>Total CWIP in Rate Base:</t>
  </si>
  <si>
    <t>General note:  Source of monthly balance data on this page is company records.</t>
  </si>
  <si>
    <t>Percentages in this column may only be changed pursuant to FERC approval.</t>
  </si>
  <si>
    <t>Subaccount No.</t>
  </si>
  <si>
    <t>Item Name</t>
  </si>
  <si>
    <t>Average of Columns (e) Through (q)</t>
  </si>
  <si>
    <t>Total Land Held for Future Use in rate base:</t>
  </si>
  <si>
    <t>Land Held for Future Use</t>
  </si>
  <si>
    <t>Amounts for unfunded reserves included here must be supported in Attachment 12</t>
  </si>
  <si>
    <t>Amounts for Land Held for Future Use included here must be supported in Attachment 14</t>
  </si>
  <si>
    <t>Amounts for CWIP included here must be supported in Attachment 13</t>
  </si>
  <si>
    <t xml:space="preserve">   The Excel ™ formula on line 2 is :  (round(XIRR(first quarter of loan Col I of Table 5:last quarter of loan Col I of Table 5, first quarter of loan Col A of Table 5:last quarter of loan Col I of Table 5, 8%),4)</t>
  </si>
  <si>
    <t xml:space="preserve">   N is the total number of quarters the loan would be outstanding</t>
  </si>
  <si>
    <t xml:space="preserve">7.  Table 5, Col. D reflect the amount of the loan that is drawn down in the quarter </t>
  </si>
  <si>
    <t xml:space="preserve">12.  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</si>
  <si>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 xml:space="preserve">Cost of Debt Used in Determining the Actual Net Revenue Requirement in Appendix III, Col (3), line 80.  </t>
  </si>
  <si>
    <t>Actual Net Revenue Requirement in Appendix III, Col. (3), line 4</t>
  </si>
  <si>
    <r>
      <t xml:space="preserve"> </t>
    </r>
    <r>
      <rPr>
        <b/>
        <sz val="12"/>
        <color indexed="8"/>
        <rFont val="Arial MT"/>
      </rPr>
      <t>TRANSMISSION PLANT</t>
    </r>
    <r>
      <rPr>
        <b/>
        <sz val="12"/>
        <rFont val="Arial MT"/>
      </rPr>
      <t xml:space="preserve"> </t>
    </r>
  </si>
  <si>
    <t>Line 9 must tie to the lines above as shown</t>
  </si>
  <si>
    <t>Workpaper 3 - Capital Additions by FERC Account</t>
  </si>
  <si>
    <t xml:space="preserve">8.  Table 5, Col. G is the total fees in line 10-16 and is input in the first quarter that a portion of the loan in drawn </t>
  </si>
  <si>
    <t>Refund/Surcharge Interest Rate Calculated on Attachment 7, line 9 for the Year</t>
  </si>
  <si>
    <t>Future Use</t>
  </si>
  <si>
    <t>Unfunded Reserves</t>
  </si>
  <si>
    <t>(Appendix III, lines 40 &amp; 42 and Attachment 2, lines 149 &amp; 150)</t>
  </si>
  <si>
    <t>Appendix III, line 78</t>
  </si>
  <si>
    <t>Appendix III, line 15</t>
  </si>
  <si>
    <t>Interest rate calculated on Attachment 8 uses estimates that would not be trued up under Attachment 5, absent this attachment.  Accordingly, this attachment calculates the difference in interest rates actually charged and the final interest rate calculation after the loan in Attachment 8 is paid off. This attachment calculates a one time true up that incorporated into the next annual true-up pursuant to Appendix III, Note Q.</t>
  </si>
  <si>
    <t>Reserved</t>
  </si>
  <si>
    <t>(Attach 2, line 15)</t>
  </si>
  <si>
    <t>(Attach 2, lines 30 &amp; 45)</t>
  </si>
  <si>
    <t>(Attach 2, line 61)</t>
  </si>
  <si>
    <t>(Attach 2, lines 76 &amp; 91)</t>
  </si>
  <si>
    <t>(Attach 2, line 93)</t>
  </si>
  <si>
    <t>(Attach 2, line 127)</t>
  </si>
  <si>
    <t>(Attach 2, line 126)</t>
  </si>
  <si>
    <t>(Attach 2, line 146)</t>
  </si>
  <si>
    <t>(Attach 2, line 110)</t>
  </si>
  <si>
    <t>(Attach 2, line 180)</t>
  </si>
  <si>
    <t xml:space="preserve">  Long Term Debt  (Note G) (Attach 2, line 207 &amp; Attach 5)</t>
  </si>
  <si>
    <t xml:space="preserve">  Preferred Stock  (Attach 2, line 212)</t>
  </si>
  <si>
    <t>Incentive returns are excluded from lines 5-65, but rather the incremental incentive return is calculated in Col J on Attachment 4 and included on line 66.</t>
  </si>
  <si>
    <t>Includes the construction loan true-up from Attachment 8 in the year after the construction loan is paid off or a project goes into service.</t>
  </si>
  <si>
    <t>Total Regulatory Assets and Abandoned Plant in Rate Base:</t>
  </si>
  <si>
    <r>
      <t xml:space="preserve">Non-zero values in this column may only be established and changed  subject to Commission direction or approval pursuant to an appropriate </t>
    </r>
    <r>
      <rPr>
        <sz val="8"/>
        <color theme="1"/>
        <rFont val="Calibri"/>
        <family val="2"/>
      </rPr>
      <t>§205, §206, or §219 filing.</t>
    </r>
  </si>
  <si>
    <t xml:space="preserve">Note 1: In the event a Contribution in Aid of Construction (CIAC) is made for a transmission facility, the transmission depreciation rates above will be weighted based on the relative amount of underlying plant booked to the accounts shown in lines 1-11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</si>
  <si>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t>Non-Rate Base</t>
  </si>
  <si>
    <t xml:space="preserve">  Common Stock   (Attach 2, line 194)  </t>
  </si>
  <si>
    <r>
      <t xml:space="preserve">The ROE of 10.3% reflects the 9.8% negotiated Base ROE, plus 50 basis points for MCCT’s commitment to become a member of the CAISO regional transmission organization (“RTO”) as authorized by the Commission in </t>
    </r>
    <r>
      <rPr>
        <i/>
        <sz val="14"/>
        <rFont val="Arial Narrow"/>
        <family val="2"/>
      </rPr>
      <t>MidAmerican Central California Transco,</t>
    </r>
    <r>
      <rPr>
        <sz val="14"/>
        <rFont val="Arial Narrow"/>
        <family val="2"/>
      </rPr>
      <t xml:space="preserve"> 147 FERC ¶ 61,179 at P 45 (2012).  </t>
    </r>
  </si>
  <si>
    <t xml:space="preserve">1.  the Revenue Requirement Billed is input, the source are the invoices from CAISO.  The amounts do not include any true-ups, prior period adjustments, or TRBAA amounts </t>
  </si>
  <si>
    <t>3. Then Monthly Interest Rate shall be equal to the interest rate set forth in Section 6 of the Protocols.</t>
  </si>
  <si>
    <t xml:space="preserve">2.  the Actual Revenue Requirement is input from Attachment 4, line 8, Col. J.  The amounts do not include any true-ups, prior period adjustments, or TRBAA amounts </t>
  </si>
  <si>
    <t>Revenue Requirement Billed  (Note 1)</t>
  </si>
  <si>
    <t>Actual Revenue Requirement (Note 2)</t>
  </si>
  <si>
    <t>Monthly Interest Rate (Note 3)</t>
  </si>
  <si>
    <t>4. The True-Up Adjustment is applied to each project prorata based its contribution to the Revenue Requirement shown in Appendix III, line 1.</t>
  </si>
  <si>
    <t xml:space="preserve">Less Over (Under) Recovery  </t>
  </si>
  <si>
    <t>Total Amount of True-Up Adjustment (Note 4)</t>
  </si>
  <si>
    <r>
      <rPr>
        <b/>
        <sz val="12"/>
        <color indexed="8"/>
        <rFont val="Arial MT"/>
      </rPr>
      <t>MidAmerican Central California Transco, LLC</t>
    </r>
    <r>
      <rPr>
        <sz val="12"/>
        <rFont val="Arial MT"/>
      </rPr>
      <t xml:space="preserve"> </t>
    </r>
  </si>
  <si>
    <t>Attachment 13 - CWIP in Rate Base</t>
  </si>
  <si>
    <t>Attachment 12 - Unfunded Reserves</t>
  </si>
  <si>
    <t xml:space="preserve">Attachment 11 - Regulatory Assets and Abandoned Plant </t>
  </si>
  <si>
    <t>Attachment 14 - Land Held for Future Use</t>
  </si>
  <si>
    <t>Central Valley Transmission Upgrade Project (CVT Project)</t>
  </si>
  <si>
    <t>Attachment 10 - Detail for O&amp;M, Other Taxes and Account 413 for Leased Projects</t>
  </si>
  <si>
    <t>PBOP Adjustment for Appendix III, Line 37</t>
  </si>
  <si>
    <t>Year 2019</t>
  </si>
  <si>
    <t>Year 2021</t>
  </si>
  <si>
    <t>Year 2020</t>
  </si>
  <si>
    <t>2019</t>
  </si>
  <si>
    <t>Docket No. ER14-1661</t>
  </si>
  <si>
    <t>Deferred Tax Liability on Pre-Commercial Regulatory Asset</t>
  </si>
  <si>
    <t>Regulatory asset for carrying charges on pre-commercial costs not recognized for tax purposes.</t>
  </si>
  <si>
    <t>Outside Services Employed</t>
  </si>
  <si>
    <t>Pre-commercial expenses regulatory asset amortization</t>
  </si>
  <si>
    <t>Abandoned Construction Work In Process</t>
  </si>
  <si>
    <t>Deferred Tax Liability on Construction Work In Progress Write Offs to Regulatory Assets</t>
  </si>
  <si>
    <t>BHE U.S. Transmission</t>
  </si>
  <si>
    <t>Facilities</t>
  </si>
  <si>
    <t>Tax</t>
  </si>
  <si>
    <t>Corp Legal &amp; Accting</t>
  </si>
  <si>
    <t>Annual Update for Transmission Revenue Requirement</t>
  </si>
  <si>
    <t>Gates-Gregg Project</t>
  </si>
  <si>
    <t>ER19-1384</t>
  </si>
  <si>
    <t>ER19-2314</t>
  </si>
  <si>
    <t>5 years</t>
  </si>
  <si>
    <t>MidAmerican Energy</t>
  </si>
  <si>
    <t>2020</t>
  </si>
  <si>
    <t>For the 12 months ended 12/31/2020</t>
  </si>
  <si>
    <t>Berkshire Hathaway Energy Company</t>
  </si>
  <si>
    <t>Deferred Tax Liability on Annual Transmission Revenue Requirement</t>
  </si>
  <si>
    <t>Central Valley Power Connect unamortized regulatory asset balance</t>
  </si>
  <si>
    <t>Central Valley Power Connect unamortized abandoned plant balance</t>
  </si>
  <si>
    <t>Central Valley Power Connect CWIP balance</t>
  </si>
  <si>
    <t>Central Valley Power Connect plant-in-service balance</t>
  </si>
  <si>
    <t>Central Valley Power Connect</t>
  </si>
  <si>
    <t>ER19-2314-000</t>
  </si>
  <si>
    <t>Admin</t>
  </si>
  <si>
    <r>
      <t xml:space="preserve">    </t>
    </r>
    <r>
      <rPr>
        <u/>
        <sz val="10"/>
        <rFont val="Arial MT"/>
      </rPr>
      <t xml:space="preserve"> http://online.wsj.com/mdc/public/page/2_3020-libor.html</t>
    </r>
    <r>
      <rPr>
        <sz val="10"/>
        <rFont val="Arial MT"/>
      </rPr>
      <t xml:space="preserve">         (An equivalent website will be established if this website is no longer available at any time in the future).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</si>
</sst>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0.0"/>
    <numFmt numFmtId="172" formatCode="&quot;$&quot;#,##0.00"/>
    <numFmt numFmtId="173" formatCode="_(* #,##0_);_(* \(#,##0\);_(* &quot;-&quot;??_);_(@_)"/>
    <numFmt numFmtId="174" formatCode="_(&quot;$&quot;* #,##0_);_(&quot;$&quot;* \(#,##0\);_(&quot;$&quot;* &quot;-&quot;??_);_(@_)"/>
    <numFmt numFmtId="175" formatCode="&quot;$&quot;#,##0.0000"/>
    <numFmt numFmtId="176" formatCode="0.000000%"/>
    <numFmt numFmtId="177" formatCode="_(* #,##0.000_);_(* \(#,##0.000\);_(* &quot;-&quot;??_);_(@_)"/>
    <numFmt numFmtId="178" formatCode="0.0000%"/>
    <numFmt numFmtId="179" formatCode="_(* #,##0.0000_);_(* \(#,##0.0000\);_(* &quot;-&quot;??_);_(@_)"/>
    <numFmt numFmtId="180" formatCode="_(* #,##0.00000_);_(* \(#,##0.00000\);_(* &quot;-&quot;??_);_(@_)"/>
    <numFmt numFmtId="181" formatCode="&quot;$&quot;#,##0.00000"/>
    <numFmt numFmtId="182" formatCode="0_);\(0\)"/>
    <numFmt numFmtId="183" formatCode="_(* #,##0.0_);_(* \(#,##0.0\);_(* &quot;-&quot;??_);_(@_)"/>
    <numFmt numFmtId="184" formatCode="_(&quot;$&quot;* #,##0.000000_);_(&quot;$&quot;* \(#,##0.000000\);_(&quot;$&quot;* &quot;-&quot;??_);_(@_)"/>
    <numFmt numFmtId="185" formatCode="_(* ###0_);_(* \(###0\);_(* &quot;-&quot;??_);_(@_)"/>
  </numFmts>
  <fonts count="126">
    <font>
      <sz val="12"/>
      <name val="Arial MT"/>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4"/>
      <name val="Arial MT"/>
    </font>
    <font>
      <sz val="12"/>
      <name val="Times New Roman"/>
      <family val="1"/>
    </font>
    <font>
      <sz val="16"/>
      <name val="Arial MT"/>
    </font>
    <font>
      <sz val="14"/>
      <name val="Times New Roman"/>
      <family val="1"/>
    </font>
    <font>
      <sz val="12"/>
      <color indexed="17"/>
      <name val="Arial"/>
      <family val="2"/>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u/>
      <sz val="10"/>
      <name val="Arial"/>
      <family val="2"/>
    </font>
    <font>
      <b/>
      <u/>
      <sz val="12"/>
      <name val="Arial Narrow"/>
      <family val="2"/>
    </font>
    <font>
      <sz val="10"/>
      <name val="Arial"/>
      <family val="2"/>
    </font>
    <font>
      <sz val="11"/>
      <name val="Calibri"/>
      <family val="2"/>
    </font>
    <font>
      <sz val="12"/>
      <name val="Arial"/>
      <family val="2"/>
    </font>
    <font>
      <b/>
      <sz val="12"/>
      <name val="Arial"/>
      <family val="2"/>
    </font>
    <font>
      <sz val="8"/>
      <name val="Arial MT"/>
    </font>
    <font>
      <b/>
      <sz val="12"/>
      <name val="Arial MT"/>
    </font>
    <font>
      <b/>
      <sz val="14"/>
      <name val="Arial Narrow"/>
      <family val="2"/>
    </font>
    <font>
      <b/>
      <sz val="10"/>
      <color indexed="10"/>
      <name val="Arial"/>
      <family val="2"/>
    </font>
    <font>
      <sz val="12"/>
      <name val="Helv"/>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3.5"/>
      <name val="Arial Narrow"/>
      <family val="2"/>
    </font>
    <font>
      <i/>
      <sz val="11"/>
      <name val="Calibri"/>
      <family val="2"/>
    </font>
    <font>
      <sz val="11"/>
      <name val="Calibri"/>
      <family val="2"/>
      <scheme val="minor"/>
    </font>
    <font>
      <b/>
      <sz val="10"/>
      <color rgb="FFFF0000"/>
      <name val="Arial"/>
      <family val="2"/>
    </font>
    <font>
      <sz val="11"/>
      <color rgb="FF1F497D"/>
      <name val="Calibri"/>
      <family val="2"/>
    </font>
    <font>
      <b/>
      <sz val="12"/>
      <color indexed="10"/>
      <name val="Times New Roman"/>
      <family val="1"/>
    </font>
    <font>
      <b/>
      <sz val="10"/>
      <color indexed="10"/>
      <name val="Times New Roman"/>
      <family val="1"/>
    </font>
    <font>
      <b/>
      <sz val="10"/>
      <name val="Times New Roman"/>
      <family val="1"/>
    </font>
    <font>
      <sz val="14"/>
      <color rgb="FFFF0000"/>
      <name val="Arial Narrow"/>
      <family val="2"/>
    </font>
    <font>
      <sz val="14"/>
      <color rgb="FFFF0000"/>
      <name val="Times New Roman"/>
      <family val="1"/>
    </font>
    <font>
      <b/>
      <sz val="12"/>
      <color indexed="8"/>
      <name val="Arial MT"/>
    </font>
    <font>
      <sz val="12"/>
      <color indexed="8"/>
      <name val="Arial MT"/>
    </font>
    <font>
      <b/>
      <u/>
      <sz val="10"/>
      <name val="Times New Roman"/>
      <family val="1"/>
    </font>
    <font>
      <b/>
      <i/>
      <sz val="10"/>
      <color indexed="10"/>
      <name val="Times New Roman"/>
      <family val="1"/>
    </font>
    <font>
      <b/>
      <i/>
      <sz val="10"/>
      <name val="Times New Roman"/>
      <family val="1"/>
    </font>
    <font>
      <sz val="10"/>
      <color indexed="10"/>
      <name val="Times New Roman"/>
      <family val="1"/>
    </font>
    <font>
      <b/>
      <sz val="10"/>
      <color indexed="12"/>
      <name val="Times New Roman"/>
      <family val="1"/>
    </font>
    <font>
      <sz val="10"/>
      <color indexed="56"/>
      <name val="Times New Roman"/>
      <family val="1"/>
    </font>
    <font>
      <sz val="10"/>
      <name val="Arial"/>
      <family val="2"/>
    </font>
    <font>
      <sz val="18"/>
      <color rgb="FFFF0000"/>
      <name val="Arial"/>
      <family val="2"/>
    </font>
    <font>
      <sz val="11"/>
      <color rgb="FFFF0000"/>
      <name val="Arial Narrow"/>
      <family val="2"/>
    </font>
    <font>
      <b/>
      <sz val="12"/>
      <name val="Helv"/>
    </font>
    <font>
      <sz val="12"/>
      <name val="Ariel"/>
    </font>
    <font>
      <sz val="10"/>
      <name val="Ariel"/>
    </font>
    <font>
      <u/>
      <sz val="12"/>
      <name val="Arial"/>
      <family val="2"/>
    </font>
    <font>
      <sz val="18"/>
      <name val="Arial"/>
      <family val="2"/>
    </font>
    <font>
      <b/>
      <sz val="10"/>
      <color rgb="FFFF0000"/>
      <name val="Arial Narrow"/>
      <family val="2"/>
    </font>
    <font>
      <sz val="12"/>
      <color rgb="FF0070C0"/>
      <name val="Arial MT"/>
    </font>
    <font>
      <sz val="10"/>
      <color theme="1"/>
      <name val="Arial Narrow"/>
      <family val="2"/>
    </font>
    <font>
      <strike/>
      <sz val="12"/>
      <name val="Arial MT"/>
    </font>
    <font>
      <sz val="12"/>
      <color rgb="FFFF0000"/>
      <name val="Arial MT"/>
    </font>
    <font>
      <strike/>
      <sz val="12"/>
      <color rgb="FFFF0000"/>
      <name val="Arial MT"/>
    </font>
    <font>
      <vertAlign val="superscript"/>
      <sz val="10"/>
      <name val="Arial Narrow"/>
      <family val="2"/>
    </font>
    <font>
      <vertAlign val="superscript"/>
      <sz val="10"/>
      <name val="Arial"/>
      <family val="2"/>
    </font>
    <font>
      <u/>
      <sz val="12"/>
      <color theme="10"/>
      <name val="Arial MT"/>
    </font>
    <font>
      <sz val="11"/>
      <name val="Arial MT"/>
    </font>
    <font>
      <strike/>
      <sz val="12"/>
      <color rgb="FF0070C0"/>
      <name val="Arial MT"/>
    </font>
    <font>
      <sz val="12"/>
      <color theme="1"/>
      <name val="Arial MT"/>
    </font>
    <font>
      <sz val="12"/>
      <color rgb="FF00B050"/>
      <name val="Arial MT"/>
    </font>
    <font>
      <sz val="12"/>
      <color theme="9" tint="-0.249977111117893"/>
      <name val="Arial MT"/>
    </font>
    <font>
      <b/>
      <sz val="8"/>
      <color theme="1"/>
      <name val="Arial"/>
      <family val="2"/>
    </font>
    <font>
      <sz val="8"/>
      <color theme="1"/>
      <name val="Arial"/>
      <family val="2"/>
    </font>
    <font>
      <b/>
      <sz val="11"/>
      <color indexed="8"/>
      <name val="Arial Narrow"/>
      <family val="2"/>
    </font>
    <font>
      <b/>
      <sz val="11"/>
      <color rgb="FFFF0000"/>
      <name val="Arial Narrow"/>
      <family val="2"/>
    </font>
    <font>
      <b/>
      <sz val="11"/>
      <name val="Arial Narrow"/>
      <family val="2"/>
    </font>
    <font>
      <strike/>
      <sz val="11"/>
      <name val="Arial Narrow"/>
      <family val="2"/>
    </font>
    <font>
      <b/>
      <sz val="9"/>
      <color theme="1"/>
      <name val="Arial"/>
      <family val="2"/>
    </font>
    <font>
      <sz val="8"/>
      <color theme="1"/>
      <name val="Calibri"/>
      <family val="2"/>
    </font>
    <font>
      <i/>
      <sz val="8"/>
      <color theme="1"/>
      <name val="Arial"/>
      <family val="2"/>
    </font>
    <font>
      <sz val="12"/>
      <name val="Calibri"/>
      <family val="2"/>
      <scheme val="minor"/>
    </font>
    <font>
      <sz val="10"/>
      <name val="Calibri"/>
      <family val="2"/>
      <scheme val="minor"/>
    </font>
    <font>
      <sz val="13"/>
      <name val="Times New Roman"/>
      <family val="1"/>
    </font>
    <font>
      <i/>
      <sz val="14"/>
      <name val="Arial Narrow"/>
      <family val="2"/>
    </font>
    <font>
      <sz val="10"/>
      <color rgb="FFFF0000"/>
      <name val="Arial Narrow"/>
      <family val="2"/>
    </font>
    <font>
      <u/>
      <sz val="10"/>
      <name val="Arial MT"/>
    </font>
  </fonts>
  <fills count="1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top style="thin">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s>
  <cellStyleXfs count="126">
    <xf numFmtId="172" fontId="0" fillId="0" borderId="0" applyProtection="0"/>
    <xf numFmtId="172" fontId="2" fillId="0" borderId="0" applyFill="0"/>
    <xf numFmtId="172" fontId="2" fillId="0" borderId="0">
      <alignment horizontal="center"/>
    </xf>
    <xf numFmtId="0" fontId="2" fillId="0" borderId="0" applyFill="0">
      <alignment horizontal="center"/>
    </xf>
    <xf numFmtId="172" fontId="3" fillId="0" borderId="1" applyFill="0"/>
    <xf numFmtId="0" fontId="4" fillId="0" borderId="0" applyFont="0" applyAlignment="0"/>
    <xf numFmtId="0" fontId="5" fillId="0" borderId="0" applyFill="0">
      <alignment vertical="top"/>
    </xf>
    <xf numFmtId="0" fontId="3" fillId="0" borderId="0" applyFill="0">
      <alignment horizontal="left" vertical="top"/>
    </xf>
    <xf numFmtId="172" fontId="6" fillId="0" borderId="2" applyFill="0"/>
    <xf numFmtId="0" fontId="4" fillId="0" borderId="0" applyNumberFormat="0" applyFont="0" applyAlignment="0"/>
    <xf numFmtId="0" fontId="5" fillId="0" borderId="0" applyFill="0">
      <alignment wrapText="1"/>
    </xf>
    <xf numFmtId="0" fontId="3" fillId="0" borderId="0" applyFill="0">
      <alignment horizontal="left" vertical="top" wrapText="1"/>
    </xf>
    <xf numFmtId="172" fontId="7" fillId="0" borderId="0" applyFill="0"/>
    <xf numFmtId="0" fontId="8" fillId="0" borderId="0" applyNumberFormat="0" applyFont="0" applyAlignment="0">
      <alignment horizontal="center"/>
    </xf>
    <xf numFmtId="0" fontId="9" fillId="0" borderId="0" applyFill="0">
      <alignment vertical="top" wrapText="1"/>
    </xf>
    <xf numFmtId="0" fontId="6" fillId="0" borderId="0" applyFill="0">
      <alignment horizontal="left" vertical="top" wrapText="1"/>
    </xf>
    <xf numFmtId="172" fontId="4" fillId="0" borderId="0" applyFill="0"/>
    <xf numFmtId="0" fontId="8" fillId="0" borderId="0" applyNumberFormat="0" applyFont="0" applyAlignment="0">
      <alignment horizontal="center"/>
    </xf>
    <xf numFmtId="0" fontId="10" fillId="0" borderId="0" applyFill="0">
      <alignment vertical="center" wrapText="1"/>
    </xf>
    <xf numFmtId="0" fontId="11" fillId="0" borderId="0">
      <alignment horizontal="left" vertical="center" wrapText="1"/>
    </xf>
    <xf numFmtId="172" fontId="12" fillId="0" borderId="0" applyFill="0"/>
    <xf numFmtId="0" fontId="8" fillId="0" borderId="0" applyNumberFormat="0" applyFont="0" applyAlignment="0">
      <alignment horizontal="center"/>
    </xf>
    <xf numFmtId="0" fontId="13" fillId="0" borderId="0" applyFill="0">
      <alignment horizontal="center" vertical="center" wrapText="1"/>
    </xf>
    <xf numFmtId="0" fontId="14" fillId="0" borderId="0" applyFill="0">
      <alignment horizontal="center" vertical="center" wrapText="1"/>
    </xf>
    <xf numFmtId="172" fontId="15" fillId="0" borderId="0" applyFill="0"/>
    <xf numFmtId="0" fontId="8" fillId="0" borderId="0" applyNumberFormat="0" applyFont="0" applyAlignment="0">
      <alignment horizontal="center"/>
    </xf>
    <xf numFmtId="0" fontId="16" fillId="0" borderId="0" applyFill="0">
      <alignment horizontal="center" vertical="center" wrapText="1"/>
    </xf>
    <xf numFmtId="0" fontId="17" fillId="0" borderId="0" applyFill="0">
      <alignment horizontal="center" vertical="center" wrapText="1"/>
    </xf>
    <xf numFmtId="172" fontId="18" fillId="0" borderId="0" applyFill="0"/>
    <xf numFmtId="0" fontId="8" fillId="0" borderId="0" applyNumberFormat="0" applyFont="0" applyAlignment="0">
      <alignment horizontal="center"/>
    </xf>
    <xf numFmtId="0" fontId="19" fillId="0" borderId="0">
      <alignment horizontal="center" wrapText="1"/>
    </xf>
    <xf numFmtId="0" fontId="15" fillId="0" borderId="0" applyFill="0">
      <alignment horizontal="center" wrapText="1"/>
    </xf>
    <xf numFmtId="43" fontId="4" fillId="0" borderId="0" applyFont="0" applyFill="0" applyBorder="0" applyAlignment="0" applyProtection="0"/>
    <xf numFmtId="41"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5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0" fontId="4" fillId="0" borderId="3"/>
    <xf numFmtId="44" fontId="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56"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2" fillId="0" borderId="4"/>
    <xf numFmtId="0" fontId="23" fillId="0" borderId="0"/>
    <xf numFmtId="0" fontId="4" fillId="0" borderId="0"/>
    <xf numFmtId="0" fontId="14" fillId="0" borderId="0"/>
    <xf numFmtId="0" fontId="4" fillId="0" borderId="0"/>
    <xf numFmtId="0" fontId="4" fillId="0" borderId="0"/>
    <xf numFmtId="0" fontId="56" fillId="0" borderId="0"/>
    <xf numFmtId="0" fontId="4" fillId="0" borderId="0"/>
    <xf numFmtId="172" fontId="24" fillId="0" borderId="0" applyProtection="0"/>
    <xf numFmtId="0" fontId="24" fillId="0" borderId="0" applyProtection="0"/>
    <xf numFmtId="0" fontId="4" fillId="0" borderId="0"/>
    <xf numFmtId="172" fontId="24" fillId="0" borderId="0" applyProtection="0"/>
    <xf numFmtId="0" fontId="4" fillId="0" borderId="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3" fontId="4" fillId="0" borderId="0">
      <alignment horizontal="left" vertical="top"/>
    </xf>
    <xf numFmtId="0" fontId="26" fillId="0" borderId="4">
      <alignment horizontal="center"/>
    </xf>
    <xf numFmtId="3" fontId="25" fillId="0" borderId="0" applyFont="0" applyFill="0" applyBorder="0" applyAlignment="0" applyProtection="0"/>
    <xf numFmtId="0" fontId="25" fillId="2" borderId="0" applyNumberFormat="0" applyFont="0" applyBorder="0" applyAlignment="0" applyProtection="0"/>
    <xf numFmtId="3" fontId="4" fillId="0" borderId="0">
      <alignment horizontal="right" vertical="top"/>
    </xf>
    <xf numFmtId="41" fontId="11" fillId="3" borderId="5" applyFill="0"/>
    <xf numFmtId="0" fontId="27" fillId="0" borderId="0">
      <alignment horizontal="left" indent="7"/>
    </xf>
    <xf numFmtId="41" fontId="11" fillId="0" borderId="5" applyFill="0">
      <alignment horizontal="left" indent="2"/>
    </xf>
    <xf numFmtId="172" fontId="28" fillId="0" borderId="6" applyFill="0">
      <alignment horizontal="right"/>
    </xf>
    <xf numFmtId="0" fontId="29" fillId="0" borderId="7" applyNumberFormat="0" applyFont="0" applyBorder="0">
      <alignment horizontal="right"/>
    </xf>
    <xf numFmtId="0" fontId="30" fillId="0" borderId="0" applyFill="0"/>
    <xf numFmtId="0" fontId="6" fillId="0" borderId="0" applyFill="0"/>
    <xf numFmtId="4" fontId="28" fillId="0" borderId="6" applyFill="0"/>
    <xf numFmtId="0" fontId="4" fillId="0" borderId="0" applyNumberFormat="0" applyFont="0" applyBorder="0" applyAlignment="0"/>
    <xf numFmtId="0" fontId="9" fillId="0" borderId="0" applyFill="0">
      <alignment horizontal="left" indent="1"/>
    </xf>
    <xf numFmtId="0" fontId="31" fillId="0" borderId="0" applyFill="0">
      <alignment horizontal="left" indent="1"/>
    </xf>
    <xf numFmtId="4" fontId="12" fillId="0" borderId="0" applyFill="0"/>
    <xf numFmtId="0" fontId="4" fillId="0" borderId="0" applyNumberFormat="0" applyFont="0" applyFill="0" applyBorder="0" applyAlignment="0"/>
    <xf numFmtId="0" fontId="9" fillId="0" borderId="0" applyFill="0">
      <alignment horizontal="left" indent="2"/>
    </xf>
    <xf numFmtId="0" fontId="6" fillId="0" borderId="0" applyFill="0">
      <alignment horizontal="left" indent="2"/>
    </xf>
    <xf numFmtId="4" fontId="12" fillId="0" borderId="0" applyFill="0"/>
    <xf numFmtId="0" fontId="4" fillId="0" borderId="0" applyNumberFormat="0" applyFont="0" applyBorder="0" applyAlignment="0"/>
    <xf numFmtId="0" fontId="32" fillId="0" borderId="0">
      <alignment horizontal="left" indent="3"/>
    </xf>
    <xf numFmtId="0" fontId="33" fillId="0" borderId="0" applyFill="0">
      <alignment horizontal="left" indent="3"/>
    </xf>
    <xf numFmtId="4" fontId="12" fillId="0" borderId="0" applyFill="0"/>
    <xf numFmtId="0" fontId="4" fillId="0" borderId="0" applyNumberFormat="0" applyFont="0" applyBorder="0" applyAlignment="0"/>
    <xf numFmtId="0" fontId="13" fillId="0" borderId="0">
      <alignment horizontal="left" indent="4"/>
    </xf>
    <xf numFmtId="0" fontId="14" fillId="0" borderId="0" applyFill="0">
      <alignment horizontal="left" indent="4"/>
    </xf>
    <xf numFmtId="4" fontId="15" fillId="0" borderId="0" applyFill="0"/>
    <xf numFmtId="0" fontId="4" fillId="0" borderId="0" applyNumberFormat="0" applyFont="0" applyBorder="0" applyAlignment="0"/>
    <xf numFmtId="0" fontId="16" fillId="0" borderId="0">
      <alignment horizontal="left" indent="5"/>
    </xf>
    <xf numFmtId="0" fontId="17" fillId="0" borderId="0" applyFill="0">
      <alignment horizontal="left" indent="5"/>
    </xf>
    <xf numFmtId="4" fontId="18" fillId="0" borderId="0" applyFill="0"/>
    <xf numFmtId="0" fontId="4" fillId="0" borderId="0" applyNumberFormat="0" applyFont="0" applyFill="0" applyBorder="0" applyAlignment="0"/>
    <xf numFmtId="0" fontId="19" fillId="0" borderId="0" applyFill="0">
      <alignment horizontal="left" indent="6"/>
    </xf>
    <xf numFmtId="0" fontId="15" fillId="0" borderId="0" applyFill="0">
      <alignment horizontal="left" indent="6"/>
    </xf>
    <xf numFmtId="0" fontId="3" fillId="4" borderId="0"/>
    <xf numFmtId="0" fontId="4" fillId="3" borderId="3" applyNumberFormat="0" applyFont="0" applyAlignment="0"/>
    <xf numFmtId="0" fontId="4" fillId="0" borderId="0" applyFont="0" applyFill="0" applyBorder="0" applyAlignment="0" applyProtection="0"/>
    <xf numFmtId="43" fontId="24" fillId="0" borderId="0" applyFont="0" applyFill="0" applyBorder="0" applyAlignment="0" applyProtection="0"/>
    <xf numFmtId="172" fontId="24" fillId="0" borderId="0" applyProtection="0"/>
    <xf numFmtId="0" fontId="89" fillId="0" borderId="0"/>
    <xf numFmtId="43" fontId="89" fillId="0" borderId="0" applyFont="0" applyFill="0" applyBorder="0" applyAlignment="0" applyProtection="0"/>
    <xf numFmtId="172" fontId="105" fillId="0" borderId="0" applyNumberFormat="0" applyFill="0" applyBorder="0" applyAlignment="0" applyProtection="0"/>
    <xf numFmtId="0" fontId="4" fillId="0" borderId="0" applyFill="0">
      <alignment horizontal="center" vertical="center" wrapText="1"/>
    </xf>
    <xf numFmtId="0" fontId="6" fillId="0" borderId="0" applyFont="0" applyFill="0" applyBorder="0" applyAlignment="0" applyProtection="0"/>
    <xf numFmtId="0" fontId="4" fillId="0" borderId="0" applyFill="0">
      <alignment horizontal="left" indent="4"/>
    </xf>
    <xf numFmtId="0" fontId="4"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647">
    <xf numFmtId="172" fontId="0" fillId="0" borderId="0" xfId="0" applyAlignment="1"/>
    <xf numFmtId="0" fontId="24" fillId="0" borderId="0" xfId="60" applyAlignment="1"/>
    <xf numFmtId="0" fontId="11" fillId="0" borderId="0" xfId="60" applyNumberFormat="1" applyFont="1" applyAlignment="1" applyProtection="1">
      <protection locked="0"/>
    </xf>
    <xf numFmtId="0" fontId="11" fillId="0" borderId="0" xfId="60" applyNumberFormat="1" applyFont="1" applyAlignment="1" applyProtection="1">
      <alignment horizontal="left"/>
      <protection locked="0"/>
    </xf>
    <xf numFmtId="0" fontId="11" fillId="0" borderId="0" xfId="60" applyNumberFormat="1" applyFont="1" applyAlignment="1" applyProtection="1">
      <alignment horizontal="center"/>
      <protection locked="0"/>
    </xf>
    <xf numFmtId="0" fontId="11" fillId="0" borderId="0" xfId="60" applyNumberFormat="1" applyFont="1" applyAlignment="1" applyProtection="1">
      <alignment horizontal="right"/>
      <protection locked="0"/>
    </xf>
    <xf numFmtId="0" fontId="24" fillId="0" borderId="0" xfId="60" applyNumberFormat="1" applyFont="1"/>
    <xf numFmtId="0" fontId="24" fillId="0" borderId="0" xfId="60" applyFont="1" applyAlignment="1"/>
    <xf numFmtId="0" fontId="11" fillId="0" borderId="0" xfId="60" applyNumberFormat="1" applyFont="1" applyProtection="1">
      <protection locked="0"/>
    </xf>
    <xf numFmtId="0" fontId="11" fillId="0" borderId="0" xfId="60" applyNumberFormat="1" applyFont="1" applyAlignment="1">
      <alignment horizontal="right"/>
    </xf>
    <xf numFmtId="0" fontId="11" fillId="0" borderId="0" xfId="60" applyNumberFormat="1" applyFont="1"/>
    <xf numFmtId="3" fontId="11" fillId="0" borderId="0" xfId="60" applyNumberFormat="1" applyFont="1" applyAlignment="1"/>
    <xf numFmtId="0" fontId="24" fillId="0" borderId="0" xfId="60" applyNumberFormat="1" applyAlignment="1" applyProtection="1">
      <alignment horizontal="center"/>
      <protection locked="0"/>
    </xf>
    <xf numFmtId="49" fontId="11" fillId="0" borderId="0" xfId="60" quotePrefix="1" applyNumberFormat="1" applyFont="1" applyAlignment="1">
      <alignment horizontal="center"/>
    </xf>
    <xf numFmtId="49" fontId="11" fillId="0" borderId="0" xfId="60" applyNumberFormat="1" applyFont="1"/>
    <xf numFmtId="0" fontId="24" fillId="0" borderId="4" xfId="60" applyNumberFormat="1" applyBorder="1" applyAlignment="1" applyProtection="1">
      <alignment horizontal="center"/>
      <protection locked="0"/>
    </xf>
    <xf numFmtId="0" fontId="11" fillId="0" borderId="4" xfId="60" applyNumberFormat="1" applyFont="1" applyBorder="1" applyAlignment="1" applyProtection="1">
      <alignment horizontal="center"/>
      <protection locked="0"/>
    </xf>
    <xf numFmtId="3" fontId="11" fillId="0" borderId="0" xfId="60" applyNumberFormat="1" applyFont="1"/>
    <xf numFmtId="0" fontId="11" fillId="0" borderId="0" xfId="60" applyNumberFormat="1" applyFont="1" applyAlignment="1"/>
    <xf numFmtId="3" fontId="11" fillId="0" borderId="0" xfId="60" applyNumberFormat="1" applyFont="1" applyFill="1" applyAlignment="1"/>
    <xf numFmtId="0" fontId="11" fillId="0" borderId="4" xfId="60" applyNumberFormat="1" applyFont="1" applyBorder="1" applyAlignment="1" applyProtection="1">
      <alignment horizontal="centerContinuous"/>
      <protection locked="0"/>
    </xf>
    <xf numFmtId="166" fontId="11" fillId="0" borderId="0" xfId="60" applyNumberFormat="1" applyFont="1" applyAlignment="1"/>
    <xf numFmtId="0" fontId="35" fillId="0" borderId="0" xfId="60" applyNumberFormat="1" applyFont="1" applyAlignment="1">
      <alignment horizontal="left"/>
    </xf>
    <xf numFmtId="3" fontId="11" fillId="0" borderId="0" xfId="60" applyNumberFormat="1" applyFont="1" applyFill="1" applyBorder="1"/>
    <xf numFmtId="3" fontId="11" fillId="0" borderId="4" xfId="60" applyNumberFormat="1" applyFont="1" applyBorder="1" applyAlignment="1"/>
    <xf numFmtId="3" fontId="11" fillId="0" borderId="0" xfId="60" applyNumberFormat="1" applyFont="1" applyAlignment="1">
      <alignment horizontal="fill"/>
    </xf>
    <xf numFmtId="0" fontId="11" fillId="0" borderId="0" xfId="60" applyFont="1" applyAlignment="1"/>
    <xf numFmtId="42" fontId="11" fillId="0" borderId="8" xfId="60" applyNumberFormat="1" applyFont="1" applyBorder="1" applyAlignment="1" applyProtection="1">
      <alignment horizontal="right"/>
      <protection locked="0"/>
    </xf>
    <xf numFmtId="0" fontId="11" fillId="0" borderId="0" xfId="60" applyNumberFormat="1" applyFont="1" applyFill="1" applyProtection="1">
      <protection locked="0"/>
    </xf>
    <xf numFmtId="0" fontId="11" fillId="0" borderId="0" xfId="60" applyNumberFormat="1" applyFont="1" applyAlignment="1">
      <alignment horizontal="left"/>
    </xf>
    <xf numFmtId="3" fontId="24" fillId="0" borderId="0" xfId="60" applyNumberFormat="1" applyFont="1" applyAlignment="1"/>
    <xf numFmtId="0" fontId="24" fillId="0" borderId="0" xfId="60" applyNumberFormat="1" applyFont="1" applyAlignment="1"/>
    <xf numFmtId="0" fontId="11" fillId="0" borderId="0" xfId="60" applyNumberFormat="1" applyFont="1" applyAlignment="1">
      <alignment horizontal="center"/>
    </xf>
    <xf numFmtId="49" fontId="11" fillId="0" borderId="0" xfId="60" applyNumberFormat="1" applyFont="1" applyAlignment="1">
      <alignment horizontal="left"/>
    </xf>
    <xf numFmtId="49" fontId="11" fillId="0" borderId="0" xfId="60" applyNumberFormat="1" applyFont="1" applyAlignment="1">
      <alignment horizontal="center"/>
    </xf>
    <xf numFmtId="3" fontId="6" fillId="0" borderId="0" xfId="60" applyNumberFormat="1" applyFont="1" applyAlignment="1">
      <alignment horizontal="center"/>
    </xf>
    <xf numFmtId="0" fontId="6" fillId="0" borderId="0" xfId="60" applyNumberFormat="1" applyFont="1" applyAlignment="1" applyProtection="1">
      <alignment horizontal="center"/>
      <protection locked="0"/>
    </xf>
    <xf numFmtId="0" fontId="6" fillId="0" borderId="0" xfId="60" applyFont="1" applyAlignment="1">
      <alignment horizontal="center"/>
    </xf>
    <xf numFmtId="3" fontId="6" fillId="0" borderId="0" xfId="60" applyNumberFormat="1" applyFont="1" applyAlignment="1"/>
    <xf numFmtId="0" fontId="33" fillId="0" borderId="0" xfId="60" applyNumberFormat="1" applyFont="1" applyAlignment="1" applyProtection="1">
      <alignment horizontal="center"/>
      <protection locked="0"/>
    </xf>
    <xf numFmtId="0" fontId="6" fillId="0" borderId="0" xfId="60" applyNumberFormat="1" applyFont="1" applyAlignment="1"/>
    <xf numFmtId="0" fontId="35" fillId="0" borderId="0" xfId="60" quotePrefix="1" applyNumberFormat="1" applyFont="1" applyAlignment="1">
      <alignment horizontal="left"/>
    </xf>
    <xf numFmtId="164" fontId="11" fillId="0" borderId="0" xfId="60" applyNumberFormat="1" applyFont="1" applyAlignment="1">
      <alignment horizontal="center"/>
    </xf>
    <xf numFmtId="165" fontId="11" fillId="0" borderId="0" xfId="60" applyNumberFormat="1" applyFont="1" applyFill="1" applyAlignment="1">
      <alignment horizontal="right"/>
    </xf>
    <xf numFmtId="0" fontId="34" fillId="0" borderId="0" xfId="60" quotePrefix="1" applyNumberFormat="1" applyFont="1" applyAlignment="1">
      <alignment horizontal="left"/>
    </xf>
    <xf numFmtId="0" fontId="24" fillId="0" borderId="0" xfId="60" applyNumberFormat="1" applyProtection="1">
      <protection locked="0"/>
    </xf>
    <xf numFmtId="0" fontId="36" fillId="0" borderId="0" xfId="60" applyNumberFormat="1" applyFont="1" applyAlignment="1">
      <alignment horizontal="center"/>
    </xf>
    <xf numFmtId="3" fontId="36" fillId="0" borderId="0" xfId="60" applyNumberFormat="1" applyFont="1" applyAlignment="1"/>
    <xf numFmtId="0" fontId="6" fillId="0" borderId="0" xfId="60" applyNumberFormat="1" applyFont="1" applyAlignment="1">
      <alignment horizontal="center"/>
    </xf>
    <xf numFmtId="3" fontId="35" fillId="0" borderId="0" xfId="60" quotePrefix="1" applyNumberFormat="1" applyFont="1" applyAlignment="1">
      <alignment horizontal="left"/>
    </xf>
    <xf numFmtId="0" fontId="11" fillId="0" borderId="0" xfId="60" applyNumberFormat="1" applyFont="1" applyFill="1" applyAlignment="1"/>
    <xf numFmtId="171" fontId="11" fillId="0" borderId="0" xfId="60" applyNumberFormat="1" applyFont="1" applyFill="1" applyAlignment="1">
      <alignment horizontal="left"/>
    </xf>
    <xf numFmtId="3" fontId="11" fillId="0" borderId="0" xfId="0" applyNumberFormat="1" applyFont="1" applyAlignment="1"/>
    <xf numFmtId="3" fontId="37" fillId="0" borderId="0" xfId="0" applyNumberFormat="1" applyFont="1" applyAlignment="1"/>
    <xf numFmtId="3" fontId="24" fillId="0" borderId="0" xfId="60" applyNumberFormat="1" applyFont="1" applyFill="1" applyAlignment="1"/>
    <xf numFmtId="166" fontId="11" fillId="0" borderId="0" xfId="60" applyNumberFormat="1" applyFont="1" applyAlignment="1">
      <alignment horizontal="center"/>
    </xf>
    <xf numFmtId="164" fontId="11" fillId="0" borderId="0" xfId="60" applyNumberFormat="1" applyFont="1" applyAlignment="1">
      <alignment horizontal="left"/>
    </xf>
    <xf numFmtId="10" fontId="11" fillId="0" borderId="0" xfId="60" applyNumberFormat="1" applyFont="1" applyAlignment="1">
      <alignment horizontal="left"/>
    </xf>
    <xf numFmtId="3" fontId="11" fillId="0" borderId="4" xfId="60" applyNumberFormat="1" applyFont="1" applyFill="1" applyBorder="1" applyAlignment="1"/>
    <xf numFmtId="164" fontId="11" fillId="0" borderId="0" xfId="60" applyNumberFormat="1" applyFont="1" applyAlignment="1" applyProtection="1">
      <alignment horizontal="left"/>
      <protection locked="0"/>
    </xf>
    <xf numFmtId="3" fontId="11" fillId="0" borderId="0" xfId="60" applyNumberFormat="1" applyFont="1" applyFill="1" applyAlignment="1">
      <alignment horizontal="right"/>
    </xf>
    <xf numFmtId="167" fontId="11" fillId="0" borderId="0" xfId="60" applyNumberFormat="1" applyFont="1" applyAlignment="1"/>
    <xf numFmtId="0" fontId="11" fillId="0" borderId="0" xfId="60" applyFont="1" applyFill="1" applyAlignment="1"/>
    <xf numFmtId="0" fontId="38" fillId="0" borderId="0" xfId="60" applyFont="1" applyAlignment="1"/>
    <xf numFmtId="0" fontId="34" fillId="0" borderId="0" xfId="60" applyFont="1" applyAlignment="1">
      <alignment horizontal="left" indent="1"/>
    </xf>
    <xf numFmtId="0" fontId="11" fillId="0" borderId="0" xfId="60" applyNumberFormat="1" applyFont="1" applyFill="1" applyAlignment="1" applyProtection="1">
      <protection locked="0"/>
    </xf>
    <xf numFmtId="0" fontId="11" fillId="0" borderId="0" xfId="60" applyNumberFormat="1" applyFont="1" applyFill="1"/>
    <xf numFmtId="0" fontId="24" fillId="0" borderId="0" xfId="60" applyFill="1" applyAlignment="1"/>
    <xf numFmtId="0" fontId="24" fillId="0" borderId="0" xfId="60" applyFill="1" applyAlignment="1">
      <alignment horizontal="right"/>
    </xf>
    <xf numFmtId="3" fontId="24" fillId="0" borderId="0" xfId="60" applyNumberFormat="1" applyFont="1" applyFill="1" applyAlignment="1">
      <alignment horizontal="right"/>
    </xf>
    <xf numFmtId="0" fontId="24" fillId="0" borderId="0" xfId="60" applyNumberFormat="1" applyFont="1" applyFill="1" applyAlignment="1">
      <alignment horizontal="right"/>
    </xf>
    <xf numFmtId="0" fontId="24" fillId="0" borderId="0" xfId="60" applyNumberFormat="1" applyFont="1" applyFill="1" applyAlignment="1"/>
    <xf numFmtId="0" fontId="24" fillId="0" borderId="0" xfId="60" applyFont="1" applyFill="1" applyAlignment="1"/>
    <xf numFmtId="0" fontId="11" fillId="0" borderId="4" xfId="60" applyNumberFormat="1" applyFont="1" applyFill="1" applyBorder="1" applyProtection="1">
      <protection locked="0"/>
    </xf>
    <xf numFmtId="0" fontId="11" fillId="0" borderId="4" xfId="60" applyNumberFormat="1" applyFont="1" applyFill="1" applyBorder="1"/>
    <xf numFmtId="3" fontId="11" fillId="0" borderId="0" xfId="60" applyNumberFormat="1" applyFont="1" applyFill="1" applyAlignment="1">
      <alignment horizontal="center"/>
    </xf>
    <xf numFmtId="49" fontId="11" fillId="0" borderId="0" xfId="60" applyNumberFormat="1" applyFont="1" applyFill="1"/>
    <xf numFmtId="49" fontId="11" fillId="0" borderId="0" xfId="60" applyNumberFormat="1" applyFont="1" applyFill="1" applyAlignment="1"/>
    <xf numFmtId="49" fontId="11" fillId="0" borderId="0" xfId="60" applyNumberFormat="1" applyFont="1" applyFill="1" applyAlignment="1">
      <alignment horizontal="center"/>
    </xf>
    <xf numFmtId="3" fontId="11" fillId="0" borderId="0" xfId="60" applyNumberFormat="1" applyFont="1" applyAlignment="1">
      <alignment horizontal="center"/>
    </xf>
    <xf numFmtId="3" fontId="24" fillId="0" borderId="0" xfId="60" applyNumberFormat="1" applyFill="1" applyAlignment="1"/>
    <xf numFmtId="3" fontId="11" fillId="0" borderId="4" xfId="60" applyNumberFormat="1" applyFont="1" applyBorder="1" applyAlignment="1">
      <alignment horizontal="center"/>
    </xf>
    <xf numFmtId="4" fontId="11" fillId="0" borderId="0" xfId="60" applyNumberFormat="1" applyFont="1" applyAlignment="1"/>
    <xf numFmtId="0" fontId="35" fillId="0" borderId="0" xfId="60" quotePrefix="1" applyNumberFormat="1" applyFont="1" applyFill="1" applyAlignment="1">
      <alignment horizontal="left"/>
    </xf>
    <xf numFmtId="0" fontId="24" fillId="0" borderId="0" xfId="60" applyNumberFormat="1" applyFont="1" applyFill="1"/>
    <xf numFmtId="0" fontId="24" fillId="0" borderId="4" xfId="60" applyNumberFormat="1" applyFill="1" applyBorder="1" applyAlignment="1" applyProtection="1">
      <alignment horizontal="center"/>
      <protection locked="0"/>
    </xf>
    <xf numFmtId="0" fontId="24" fillId="0" borderId="0" xfId="60" applyNumberFormat="1" applyFill="1" applyAlignment="1" applyProtection="1">
      <alignment horizontal="center"/>
      <protection locked="0"/>
    </xf>
    <xf numFmtId="168" fontId="11" fillId="0" borderId="0" xfId="60" applyNumberFormat="1" applyFont="1" applyAlignment="1"/>
    <xf numFmtId="3" fontId="11" fillId="0" borderId="0" xfId="60" quotePrefix="1" applyNumberFormat="1" applyFont="1" applyAlignment="1"/>
    <xf numFmtId="0" fontId="11" fillId="0" borderId="0" xfId="60" applyNumberFormat="1" applyFont="1" applyBorder="1" applyAlignment="1" applyProtection="1">
      <alignment horizontal="center"/>
      <protection locked="0"/>
    </xf>
    <xf numFmtId="0" fontId="24" fillId="0" borderId="0" xfId="60" applyFill="1" applyAlignment="1" applyProtection="1"/>
    <xf numFmtId="172" fontId="11" fillId="0" borderId="0" xfId="60" applyNumberFormat="1" applyFont="1" applyAlignment="1" applyProtection="1">
      <protection locked="0"/>
    </xf>
    <xf numFmtId="0" fontId="39" fillId="0" borderId="0" xfId="60" applyFont="1" applyAlignment="1"/>
    <xf numFmtId="3" fontId="24" fillId="0" borderId="0" xfId="60" applyNumberFormat="1" applyFont="1" applyFill="1" applyAlignment="1" applyProtection="1"/>
    <xf numFmtId="0" fontId="40" fillId="0" borderId="0" xfId="60" applyNumberFormat="1" applyFont="1" applyAlignment="1" applyProtection="1">
      <alignment horizontal="center"/>
      <protection locked="0"/>
    </xf>
    <xf numFmtId="169" fontId="24" fillId="0" borderId="0" xfId="60" applyNumberFormat="1" applyProtection="1">
      <protection locked="0"/>
    </xf>
    <xf numFmtId="0" fontId="39" fillId="0" borderId="0" xfId="60" applyNumberFormat="1" applyFont="1" applyAlignment="1" applyProtection="1">
      <alignment horizontal="center"/>
      <protection locked="0"/>
    </xf>
    <xf numFmtId="0" fontId="39" fillId="0" borderId="0" xfId="60" applyNumberFormat="1" applyFont="1" applyProtection="1">
      <protection locked="0"/>
    </xf>
    <xf numFmtId="0" fontId="39" fillId="0" borderId="0" xfId="60" applyNumberFormat="1" applyFont="1" applyAlignment="1" applyProtection="1">
      <protection locked="0"/>
    </xf>
    <xf numFmtId="3" fontId="39" fillId="0" borderId="0" xfId="60" applyNumberFormat="1" applyFont="1" applyAlignment="1"/>
    <xf numFmtId="0" fontId="41" fillId="0" borderId="0" xfId="60" applyNumberFormat="1" applyFont="1" applyProtection="1">
      <protection locked="0"/>
    </xf>
    <xf numFmtId="3" fontId="41" fillId="0" borderId="0" xfId="60" applyNumberFormat="1" applyFont="1" applyAlignment="1"/>
    <xf numFmtId="0" fontId="42" fillId="0" borderId="0" xfId="60" applyNumberFormat="1" applyFont="1" applyAlignment="1" applyProtection="1">
      <alignment horizontal="center"/>
      <protection locked="0"/>
    </xf>
    <xf numFmtId="0" fontId="39" fillId="0" borderId="4" xfId="60" applyNumberFormat="1" applyFont="1" applyBorder="1" applyAlignment="1" applyProtection="1">
      <alignment horizontal="center"/>
      <protection locked="0"/>
    </xf>
    <xf numFmtId="0" fontId="39" fillId="0" borderId="0" xfId="60" applyNumberFormat="1" applyFont="1" applyFill="1" applyProtection="1">
      <protection locked="0"/>
    </xf>
    <xf numFmtId="0" fontId="42" fillId="0" borderId="0" xfId="60" applyNumberFormat="1" applyFont="1" applyFill="1" applyAlignment="1" applyProtection="1">
      <alignment horizontal="center"/>
      <protection locked="0"/>
    </xf>
    <xf numFmtId="0" fontId="43" fillId="0" borderId="0" xfId="60" applyNumberFormat="1" applyFont="1" applyFill="1" applyAlignment="1" applyProtection="1">
      <alignment horizontal="left"/>
      <protection locked="0"/>
    </xf>
    <xf numFmtId="0" fontId="39" fillId="0" borderId="0" xfId="60" applyFont="1" applyAlignment="1">
      <alignment horizontal="center"/>
    </xf>
    <xf numFmtId="0" fontId="38" fillId="0" borderId="0" xfId="60" applyNumberFormat="1" applyFont="1" applyFill="1"/>
    <xf numFmtId="0" fontId="38" fillId="0" borderId="0" xfId="60" applyNumberFormat="1" applyFont="1"/>
    <xf numFmtId="0" fontId="44" fillId="0" borderId="0" xfId="60" quotePrefix="1" applyFont="1" applyAlignment="1">
      <alignment horizontal="left"/>
    </xf>
    <xf numFmtId="0" fontId="44" fillId="0" borderId="0" xfId="60" quotePrefix="1" applyNumberFormat="1" applyFont="1" applyAlignment="1">
      <alignment horizontal="left"/>
    </xf>
    <xf numFmtId="0" fontId="44" fillId="0" borderId="0" xfId="60" applyNumberFormat="1" applyFont="1" applyAlignment="1">
      <alignment horizontal="left"/>
    </xf>
    <xf numFmtId="0" fontId="11" fillId="0" borderId="0" xfId="60" quotePrefix="1" applyFont="1" applyAlignment="1">
      <alignment horizontal="left"/>
    </xf>
    <xf numFmtId="0" fontId="24" fillId="0" borderId="0" xfId="60" applyNumberFormat="1" applyFont="1" applyAlignment="1" applyProtection="1">
      <alignment horizontal="center"/>
      <protection locked="0"/>
    </xf>
    <xf numFmtId="0" fontId="11" fillId="0" borderId="0" xfId="60" quotePrefix="1" applyFont="1" applyAlignment="1">
      <alignment horizontal="left" indent="1"/>
    </xf>
    <xf numFmtId="0" fontId="11" fillId="0" borderId="0" xfId="60" quotePrefix="1" applyNumberFormat="1" applyFont="1" applyAlignment="1" applyProtection="1">
      <alignment horizontal="left"/>
      <protection locked="0"/>
    </xf>
    <xf numFmtId="0" fontId="24" fillId="0" borderId="0" xfId="60" applyNumberFormat="1" applyFont="1" applyProtection="1">
      <protection locked="0"/>
    </xf>
    <xf numFmtId="0" fontId="11" fillId="0" borderId="0" xfId="60" applyNumberFormat="1" applyFont="1" applyBorder="1" applyAlignment="1"/>
    <xf numFmtId="0" fontId="4" fillId="0" borderId="0" xfId="53"/>
    <xf numFmtId="0" fontId="4" fillId="0" borderId="0" xfId="53" applyFill="1" applyBorder="1"/>
    <xf numFmtId="0" fontId="4" fillId="0" borderId="0" xfId="53" applyAlignment="1">
      <alignment horizontal="center"/>
    </xf>
    <xf numFmtId="0" fontId="4" fillId="0" borderId="0" xfId="53" applyFill="1" applyBorder="1" applyAlignment="1">
      <alignment horizontal="center"/>
    </xf>
    <xf numFmtId="0" fontId="4" fillId="0" borderId="0" xfId="53" applyAlignment="1">
      <alignment horizontal="left"/>
    </xf>
    <xf numFmtId="173" fontId="11" fillId="0" borderId="0" xfId="32" applyNumberFormat="1" applyFont="1" applyFill="1" applyAlignment="1"/>
    <xf numFmtId="0" fontId="24" fillId="0" borderId="0" xfId="60" applyBorder="1" applyAlignment="1"/>
    <xf numFmtId="0" fontId="24" fillId="0" borderId="0" xfId="60" applyFont="1" applyBorder="1" applyAlignment="1"/>
    <xf numFmtId="3" fontId="11" fillId="0" borderId="0" xfId="60" applyNumberFormat="1" applyFont="1" applyBorder="1" applyAlignment="1"/>
    <xf numFmtId="3" fontId="11" fillId="0" borderId="0" xfId="60" applyNumberFormat="1" applyFont="1" applyFill="1" applyBorder="1" applyAlignment="1"/>
    <xf numFmtId="0" fontId="24" fillId="0" borderId="0" xfId="60" applyNumberFormat="1" applyFill="1" applyBorder="1" applyAlignment="1" applyProtection="1">
      <alignment horizontal="center"/>
      <protection locked="0"/>
    </xf>
    <xf numFmtId="0" fontId="24" fillId="0" borderId="0" xfId="60" applyFill="1" applyBorder="1" applyAlignment="1"/>
    <xf numFmtId="0" fontId="11" fillId="0" borderId="0" xfId="60" applyNumberFormat="1" applyFont="1" applyFill="1" applyBorder="1" applyAlignment="1"/>
    <xf numFmtId="0" fontId="11" fillId="0" borderId="0" xfId="60" applyNumberFormat="1" applyFont="1" applyFill="1" applyBorder="1"/>
    <xf numFmtId="0" fontId="24" fillId="0" borderId="0" xfId="60" applyNumberFormat="1" applyFont="1" applyFill="1" applyBorder="1"/>
    <xf numFmtId="0" fontId="24" fillId="0" borderId="0" xfId="60" applyFont="1" applyFill="1" applyBorder="1" applyAlignment="1"/>
    <xf numFmtId="3" fontId="45" fillId="0" borderId="0" xfId="60" applyNumberFormat="1" applyFont="1" applyFill="1" applyBorder="1" applyAlignment="1">
      <alignment horizontal="right"/>
    </xf>
    <xf numFmtId="3" fontId="24" fillId="0" borderId="0" xfId="60" applyNumberFormat="1" applyFont="1" applyBorder="1" applyAlignment="1"/>
    <xf numFmtId="49" fontId="11" fillId="0" borderId="0" xfId="60" quotePrefix="1" applyNumberFormat="1" applyFont="1" applyBorder="1" applyAlignment="1">
      <alignment horizontal="center"/>
    </xf>
    <xf numFmtId="0" fontId="11" fillId="0" borderId="0" xfId="60" applyNumberFormat="1" applyFont="1" applyBorder="1" applyAlignment="1">
      <alignment horizontal="center"/>
    </xf>
    <xf numFmtId="0" fontId="24" fillId="0" borderId="0" xfId="60" applyNumberFormat="1" applyFont="1" applyBorder="1" applyAlignment="1">
      <alignment horizontal="center"/>
    </xf>
    <xf numFmtId="3" fontId="44" fillId="0" borderId="0" xfId="60" quotePrefix="1" applyNumberFormat="1" applyFont="1" applyBorder="1" applyAlignment="1">
      <alignment horizontal="right"/>
    </xf>
    <xf numFmtId="0" fontId="45" fillId="0" borderId="0" xfId="60" applyFont="1" applyBorder="1" applyAlignment="1">
      <alignment horizontal="right"/>
    </xf>
    <xf numFmtId="3" fontId="11" fillId="0" borderId="0" xfId="60" applyNumberFormat="1" applyFont="1" applyBorder="1" applyAlignment="1">
      <alignment horizontal="right"/>
    </xf>
    <xf numFmtId="164" fontId="11" fillId="0" borderId="0" xfId="60" applyNumberFormat="1" applyFont="1" applyBorder="1" applyAlignment="1">
      <alignment horizontal="center"/>
    </xf>
    <xf numFmtId="3" fontId="35" fillId="0" borderId="0" xfId="60" applyNumberFormat="1" applyFont="1" applyBorder="1" applyAlignment="1"/>
    <xf numFmtId="3" fontId="44" fillId="0" borderId="0" xfId="60" applyNumberFormat="1" applyFont="1" applyBorder="1" applyAlignment="1">
      <alignment horizontal="right"/>
    </xf>
    <xf numFmtId="3" fontId="24" fillId="0" borderId="0" xfId="60" applyNumberFormat="1" applyFont="1" applyBorder="1" applyAlignment="1">
      <alignment horizontal="center"/>
    </xf>
    <xf numFmtId="49" fontId="11" fillId="0" borderId="0" xfId="60" quotePrefix="1" applyNumberFormat="1" applyFont="1" applyFill="1" applyBorder="1" applyAlignment="1">
      <alignment horizontal="center"/>
    </xf>
    <xf numFmtId="0" fontId="11" fillId="0" borderId="0" xfId="60" applyNumberFormat="1" applyFont="1" applyFill="1" applyBorder="1" applyAlignment="1" applyProtection="1">
      <alignment horizontal="center"/>
      <protection locked="0"/>
    </xf>
    <xf numFmtId="3" fontId="45" fillId="0" borderId="0" xfId="60" applyNumberFormat="1" applyFont="1" applyFill="1" applyBorder="1" applyAlignment="1"/>
    <xf numFmtId="164" fontId="11" fillId="0" borderId="0" xfId="60" applyNumberFormat="1" applyFont="1" applyFill="1" applyBorder="1" applyAlignment="1">
      <alignment horizontal="center"/>
    </xf>
    <xf numFmtId="3" fontId="44" fillId="0" borderId="0" xfId="60" applyNumberFormat="1" applyFont="1" applyFill="1" applyBorder="1" applyAlignment="1">
      <alignment horizontal="right"/>
    </xf>
    <xf numFmtId="0" fontId="6" fillId="0" borderId="0" xfId="60" applyNumberFormat="1" applyFont="1" applyBorder="1" applyAlignment="1" applyProtection="1">
      <alignment horizontal="center"/>
      <protection locked="0"/>
    </xf>
    <xf numFmtId="0" fontId="24" fillId="0" borderId="0" xfId="60" applyNumberFormat="1" applyBorder="1" applyProtection="1">
      <protection locked="0"/>
    </xf>
    <xf numFmtId="0" fontId="38" fillId="0" borderId="0" xfId="60" applyFont="1" applyFill="1" applyBorder="1" applyAlignment="1"/>
    <xf numFmtId="0" fontId="38" fillId="0" borderId="0" xfId="60" applyFont="1" applyBorder="1" applyAlignment="1"/>
    <xf numFmtId="42" fontId="11" fillId="0" borderId="0" xfId="60" applyNumberFormat="1" applyFont="1" applyFill="1" applyBorder="1"/>
    <xf numFmtId="42" fontId="11" fillId="0" borderId="0" xfId="60" applyNumberFormat="1" applyFont="1" applyFill="1" applyBorder="1" applyAlignment="1" applyProtection="1">
      <alignment horizontal="right"/>
      <protection locked="0"/>
    </xf>
    <xf numFmtId="3" fontId="44" fillId="0" borderId="0" xfId="60" applyNumberFormat="1" applyFont="1" applyFill="1" applyBorder="1" applyAlignment="1"/>
    <xf numFmtId="42" fontId="11" fillId="0" borderId="0" xfId="60" applyNumberFormat="1" applyFont="1" applyFill="1"/>
    <xf numFmtId="0" fontId="11" fillId="0" borderId="0" xfId="60" quotePrefix="1" applyNumberFormat="1" applyFont="1" applyFill="1" applyAlignment="1" applyProtection="1">
      <alignment horizontal="left"/>
      <protection locked="0"/>
    </xf>
    <xf numFmtId="173" fontId="11" fillId="0" borderId="0" xfId="32" applyNumberFormat="1" applyFont="1" applyFill="1" applyBorder="1" applyAlignment="1"/>
    <xf numFmtId="0" fontId="0" fillId="0" borderId="0" xfId="0" applyNumberFormat="1"/>
    <xf numFmtId="165" fontId="11" fillId="0" borderId="0" xfId="60" applyNumberFormat="1" applyFont="1" applyFill="1" applyBorder="1" applyAlignment="1"/>
    <xf numFmtId="0" fontId="4" fillId="5" borderId="0" xfId="53" applyFill="1" applyAlignment="1">
      <alignment horizontal="center"/>
    </xf>
    <xf numFmtId="173" fontId="48" fillId="0" borderId="0" xfId="32" applyNumberFormat="1" applyFont="1" applyFill="1" applyBorder="1"/>
    <xf numFmtId="0" fontId="53" fillId="0" borderId="9" xfId="60" applyNumberFormat="1" applyFont="1" applyBorder="1"/>
    <xf numFmtId="0" fontId="0" fillId="0" borderId="0" xfId="60" applyFont="1" applyFill="1" applyBorder="1" applyAlignment="1"/>
    <xf numFmtId="173" fontId="24" fillId="0" borderId="0" xfId="32" applyNumberFormat="1" applyFont="1" applyAlignment="1"/>
    <xf numFmtId="173" fontId="24" fillId="0" borderId="4" xfId="32" applyNumberFormat="1" applyFont="1" applyBorder="1" applyAlignment="1"/>
    <xf numFmtId="0" fontId="4" fillId="0" borderId="0" xfId="55"/>
    <xf numFmtId="0" fontId="4" fillId="0" borderId="0" xfId="55" applyFill="1"/>
    <xf numFmtId="3" fontId="11" fillId="0" borderId="0" xfId="55" applyNumberFormat="1" applyFont="1" applyFill="1" applyBorder="1" applyAlignment="1"/>
    <xf numFmtId="3" fontId="11" fillId="0" borderId="6" xfId="55" applyNumberFormat="1" applyFont="1" applyFill="1" applyBorder="1" applyAlignment="1"/>
    <xf numFmtId="173" fontId="11" fillId="0" borderId="0" xfId="32" applyNumberFormat="1" applyFont="1"/>
    <xf numFmtId="173" fontId="11" fillId="0" borderId="0" xfId="32" applyNumberFormat="1" applyFont="1" applyAlignment="1"/>
    <xf numFmtId="173" fontId="11" fillId="0" borderId="8" xfId="32" applyNumberFormat="1" applyFont="1" applyBorder="1" applyAlignment="1"/>
    <xf numFmtId="173" fontId="11" fillId="0" borderId="0" xfId="32" applyNumberFormat="1" applyFont="1" applyAlignment="1" applyProtection="1">
      <protection locked="0"/>
    </xf>
    <xf numFmtId="173" fontId="11" fillId="0" borderId="0" xfId="32" applyNumberFormat="1" applyFont="1" applyAlignment="1" applyProtection="1">
      <alignment horizontal="right"/>
      <protection locked="0"/>
    </xf>
    <xf numFmtId="173" fontId="11" fillId="0" borderId="0" xfId="32" applyNumberFormat="1" applyFont="1" applyAlignment="1">
      <alignment horizontal="right"/>
    </xf>
    <xf numFmtId="173" fontId="11" fillId="0" borderId="0" xfId="32" applyNumberFormat="1" applyFont="1" applyProtection="1">
      <protection locked="0"/>
    </xf>
    <xf numFmtId="173" fontId="11" fillId="0" borderId="0" xfId="32" applyNumberFormat="1" applyFont="1" applyAlignment="1">
      <alignment horizontal="center"/>
    </xf>
    <xf numFmtId="173" fontId="24" fillId="0" borderId="0" xfId="32" applyNumberFormat="1" applyFont="1" applyProtection="1">
      <protection locked="0"/>
    </xf>
    <xf numFmtId="173" fontId="6" fillId="0" borderId="0" xfId="32" applyNumberFormat="1" applyFont="1" applyAlignment="1" applyProtection="1">
      <alignment horizontal="center"/>
      <protection locked="0"/>
    </xf>
    <xf numFmtId="173" fontId="33" fillId="0" borderId="0" xfId="32" applyNumberFormat="1" applyFont="1" applyAlignment="1" applyProtection="1">
      <alignment horizontal="center"/>
      <protection locked="0"/>
    </xf>
    <xf numFmtId="173" fontId="11" fillId="0" borderId="0" xfId="32" applyNumberFormat="1" applyFont="1" applyFill="1" applyAlignment="1">
      <alignment horizontal="right"/>
    </xf>
    <xf numFmtId="173" fontId="11" fillId="6" borderId="0" xfId="32" applyNumberFormat="1" applyFont="1" applyFill="1" applyAlignment="1"/>
    <xf numFmtId="0" fontId="29" fillId="0" borderId="10" xfId="55" applyFont="1" applyFill="1" applyBorder="1" applyAlignment="1">
      <alignment horizontal="center"/>
    </xf>
    <xf numFmtId="0" fontId="4" fillId="0" borderId="0" xfId="55" applyFont="1" applyFill="1"/>
    <xf numFmtId="173" fontId="4" fillId="6" borderId="9" xfId="35" applyNumberFormat="1" applyFont="1" applyFill="1" applyBorder="1" applyAlignment="1">
      <alignment horizontal="right"/>
    </xf>
    <xf numFmtId="173" fontId="4" fillId="6" borderId="11" xfId="35" applyNumberFormat="1" applyFont="1" applyFill="1" applyBorder="1" applyAlignment="1">
      <alignment horizontal="right"/>
    </xf>
    <xf numFmtId="173" fontId="0" fillId="0" borderId="0" xfId="35" applyNumberFormat="1" applyFont="1" applyAlignment="1"/>
    <xf numFmtId="0" fontId="48" fillId="0" borderId="0" xfId="55" applyFont="1"/>
    <xf numFmtId="173" fontId="48" fillId="0" borderId="0" xfId="35" applyNumberFormat="1" applyFont="1" applyAlignment="1"/>
    <xf numFmtId="173" fontId="24" fillId="5" borderId="0" xfId="35" applyNumberFormat="1" applyFont="1" applyFill="1" applyAlignment="1"/>
    <xf numFmtId="0" fontId="52" fillId="0" borderId="0" xfId="55" applyFont="1"/>
    <xf numFmtId="173" fontId="4" fillId="0" borderId="0" xfId="35" applyNumberFormat="1" applyFont="1" applyFill="1" applyBorder="1" applyAlignment="1"/>
    <xf numFmtId="173" fontId="4" fillId="0" borderId="0" xfId="55" applyNumberFormat="1" applyFont="1" applyFill="1"/>
    <xf numFmtId="173" fontId="4" fillId="0" borderId="0" xfId="35" applyNumberFormat="1" applyFill="1" applyAlignment="1"/>
    <xf numFmtId="0" fontId="4" fillId="0" borderId="0" xfId="55" applyFont="1"/>
    <xf numFmtId="173" fontId="4" fillId="0" borderId="0" xfId="35" applyNumberFormat="1" applyAlignment="1"/>
    <xf numFmtId="0" fontId="4" fillId="0" borderId="0" xfId="55" applyAlignment="1"/>
    <xf numFmtId="173" fontId="4" fillId="0" borderId="0" xfId="35" applyNumberFormat="1" applyFont="1" applyFill="1" applyBorder="1"/>
    <xf numFmtId="0" fontId="4" fillId="0" borderId="0" xfId="55" applyFont="1" applyAlignment="1">
      <alignment horizontal="center"/>
    </xf>
    <xf numFmtId="0" fontId="4" fillId="0" borderId="12" xfId="55" applyFont="1" applyBorder="1"/>
    <xf numFmtId="0" fontId="4" fillId="0" borderId="4" xfId="55" applyFont="1" applyBorder="1"/>
    <xf numFmtId="0" fontId="4" fillId="0" borderId="13" xfId="55" applyFont="1" applyBorder="1" applyAlignment="1">
      <alignment horizontal="center"/>
    </xf>
    <xf numFmtId="0" fontId="4" fillId="0" borderId="9" xfId="55" applyFont="1" applyBorder="1"/>
    <xf numFmtId="0" fontId="4" fillId="0" borderId="0" xfId="55" applyFont="1" applyBorder="1"/>
    <xf numFmtId="0" fontId="4" fillId="0" borderId="10" xfId="55" applyFont="1" applyBorder="1" applyAlignment="1">
      <alignment horizontal="center"/>
    </xf>
    <xf numFmtId="0" fontId="4" fillId="0" borderId="0" xfId="55" applyFont="1" applyBorder="1" applyAlignment="1">
      <alignment horizontal="center"/>
    </xf>
    <xf numFmtId="0" fontId="4" fillId="0" borderId="0" xfId="55" applyNumberFormat="1" applyFont="1" applyFill="1" applyBorder="1" applyAlignment="1"/>
    <xf numFmtId="0" fontId="4" fillId="0" borderId="0" xfId="55" applyFont="1" applyFill="1" applyBorder="1" applyAlignment="1">
      <alignment horizontal="center" wrapText="1"/>
    </xf>
    <xf numFmtId="0" fontId="4" fillId="0" borderId="0" xfId="55" applyFont="1" applyBorder="1" applyAlignment="1"/>
    <xf numFmtId="3" fontId="4" fillId="0" borderId="0" xfId="55" applyNumberFormat="1" applyFont="1" applyBorder="1" applyAlignment="1">
      <alignment horizontal="center"/>
    </xf>
    <xf numFmtId="173" fontId="4" fillId="0" borderId="0" xfId="35" applyNumberFormat="1" applyFont="1" applyFill="1" applyBorder="1" applyAlignment="1">
      <alignment horizontal="right"/>
    </xf>
    <xf numFmtId="0" fontId="4" fillId="0" borderId="0" xfId="55" applyFont="1" applyBorder="1" applyAlignment="1">
      <alignment horizontal="right"/>
    </xf>
    <xf numFmtId="0" fontId="54" fillId="0" borderId="0" xfId="55" applyFont="1" applyBorder="1" applyAlignment="1">
      <alignment horizontal="left"/>
    </xf>
    <xf numFmtId="0" fontId="4" fillId="0" borderId="14" xfId="55" applyFont="1" applyBorder="1" applyAlignment="1">
      <alignment horizontal="center" wrapText="1"/>
    </xf>
    <xf numFmtId="0" fontId="4" fillId="0" borderId="15" xfId="55" applyFont="1" applyBorder="1" applyAlignment="1">
      <alignment horizontal="center" wrapText="1"/>
    </xf>
    <xf numFmtId="0" fontId="51" fillId="0" borderId="0" xfId="55" applyFont="1" applyFill="1" applyBorder="1" applyAlignment="1">
      <alignment horizontal="left"/>
    </xf>
    <xf numFmtId="0" fontId="4" fillId="0" borderId="4" xfId="55" applyFont="1" applyFill="1" applyBorder="1"/>
    <xf numFmtId="0" fontId="4" fillId="0" borderId="13" xfId="55" applyFont="1" applyFill="1" applyBorder="1"/>
    <xf numFmtId="0" fontId="4" fillId="0" borderId="6" xfId="55" applyNumberFormat="1" applyFont="1" applyFill="1" applyBorder="1" applyAlignment="1">
      <alignment horizontal="left"/>
    </xf>
    <xf numFmtId="173" fontId="4" fillId="6" borderId="0" xfId="35" applyNumberFormat="1" applyFont="1" applyFill="1" applyBorder="1" applyAlignment="1">
      <alignment horizontal="right"/>
    </xf>
    <xf numFmtId="0" fontId="4" fillId="0" borderId="0" xfId="55" applyFont="1" applyBorder="1" applyAlignment="1">
      <alignment horizontal="left"/>
    </xf>
    <xf numFmtId="0" fontId="4" fillId="0" borderId="0" xfId="55" applyNumberFormat="1" applyFont="1" applyFill="1" applyBorder="1" applyAlignment="1">
      <alignment horizontal="left"/>
    </xf>
    <xf numFmtId="173" fontId="4" fillId="0" borderId="0" xfId="55" applyNumberFormat="1" applyFont="1" applyBorder="1"/>
    <xf numFmtId="0" fontId="4" fillId="0" borderId="9" xfId="55" applyFont="1" applyFill="1" applyBorder="1"/>
    <xf numFmtId="0" fontId="4" fillId="0" borderId="0" xfId="55" applyFont="1" applyFill="1" applyBorder="1"/>
    <xf numFmtId="0" fontId="4" fillId="0" borderId="0" xfId="55" applyFont="1" applyFill="1" applyBorder="1" applyAlignment="1">
      <alignment horizontal="center"/>
    </xf>
    <xf numFmtId="0" fontId="4" fillId="0" borderId="10" xfId="55" applyFont="1" applyFill="1" applyBorder="1" applyAlignment="1">
      <alignment horizontal="center"/>
    </xf>
    <xf numFmtId="0" fontId="4" fillId="0" borderId="0" xfId="55" applyFont="1" applyFill="1" applyBorder="1" applyAlignment="1"/>
    <xf numFmtId="173" fontId="4" fillId="0" borderId="0" xfId="35" applyNumberFormat="1" applyFont="1" applyFill="1" applyBorder="1" applyAlignment="1">
      <alignment horizontal="center"/>
    </xf>
    <xf numFmtId="0" fontId="4" fillId="0" borderId="0" xfId="55" applyNumberFormat="1" applyFont="1" applyFill="1" applyBorder="1" applyAlignment="1">
      <alignment horizontal="center"/>
    </xf>
    <xf numFmtId="0" fontId="4" fillId="0" borderId="10" xfId="55" applyNumberFormat="1" applyFont="1" applyFill="1" applyBorder="1" applyAlignment="1">
      <alignment horizontal="center"/>
    </xf>
    <xf numFmtId="0" fontId="51" fillId="7" borderId="15" xfId="55" applyFont="1" applyFill="1" applyBorder="1" applyAlignment="1">
      <alignment horizontal="center" wrapText="1"/>
    </xf>
    <xf numFmtId="173" fontId="29" fillId="0" borderId="0" xfId="35" applyNumberFormat="1" applyFont="1" applyBorder="1" applyAlignment="1"/>
    <xf numFmtId="173" fontId="4" fillId="0" borderId="0" xfId="35" applyNumberFormat="1" applyFont="1" applyBorder="1"/>
    <xf numFmtId="173" fontId="47" fillId="0" borderId="0" xfId="35" applyNumberFormat="1" applyFont="1" applyBorder="1" applyAlignment="1"/>
    <xf numFmtId="0" fontId="48" fillId="0" borderId="0" xfId="55" applyFont="1" applyBorder="1"/>
    <xf numFmtId="0" fontId="47" fillId="0" borderId="0" xfId="55" applyFont="1" applyBorder="1" applyAlignment="1"/>
    <xf numFmtId="173" fontId="4" fillId="0" borderId="4" xfId="35" applyNumberFormat="1" applyFont="1" applyFill="1" applyBorder="1"/>
    <xf numFmtId="0" fontId="4" fillId="0" borderId="4" xfId="55" applyNumberFormat="1" applyFont="1" applyFill="1" applyBorder="1" applyAlignment="1">
      <alignment horizontal="center"/>
    </xf>
    <xf numFmtId="0" fontId="4" fillId="0" borderId="13" xfId="55" applyNumberFormat="1" applyFont="1" applyFill="1" applyBorder="1" applyAlignment="1">
      <alignment horizontal="center"/>
    </xf>
    <xf numFmtId="0" fontId="4" fillId="0" borderId="9" xfId="55" applyFont="1" applyFill="1" applyBorder="1" applyAlignment="1">
      <alignment horizontal="center"/>
    </xf>
    <xf numFmtId="0" fontId="4" fillId="0" borderId="0" xfId="55" applyFont="1" applyFill="1" applyBorder="1" applyAlignment="1">
      <alignment horizontal="left"/>
    </xf>
    <xf numFmtId="173" fontId="4" fillId="0" borderId="0" xfId="35" applyNumberFormat="1" applyFont="1" applyFill="1" applyBorder="1" applyAlignment="1">
      <alignment horizontal="left"/>
    </xf>
    <xf numFmtId="173" fontId="4" fillId="0" borderId="0" xfId="55" applyNumberFormat="1" applyFont="1" applyFill="1" applyBorder="1" applyAlignment="1">
      <alignment horizontal="left"/>
    </xf>
    <xf numFmtId="0" fontId="48" fillId="0" borderId="0" xfId="55" applyFont="1" applyFill="1" applyBorder="1"/>
    <xf numFmtId="164" fontId="4" fillId="0" borderId="0" xfId="66" applyNumberFormat="1" applyFont="1" applyFill="1" applyBorder="1" applyAlignment="1"/>
    <xf numFmtId="0" fontId="4" fillId="0" borderId="9" xfId="55" applyFont="1" applyFill="1" applyBorder="1" applyAlignment="1"/>
    <xf numFmtId="0" fontId="29" fillId="0" borderId="0" xfId="55" applyNumberFormat="1" applyFont="1" applyFill="1" applyBorder="1" applyAlignment="1">
      <alignment horizontal="center"/>
    </xf>
    <xf numFmtId="3" fontId="4" fillId="0" borderId="0" xfId="55" applyNumberFormat="1" applyFont="1" applyFill="1" applyBorder="1" applyAlignment="1"/>
    <xf numFmtId="0" fontId="29" fillId="0" borderId="0" xfId="55" applyFont="1" applyFill="1" applyBorder="1" applyAlignment="1">
      <alignment horizontal="left"/>
    </xf>
    <xf numFmtId="3" fontId="53" fillId="0" borderId="0" xfId="55" applyNumberFormat="1" applyFont="1" applyFill="1" applyBorder="1" applyAlignment="1">
      <alignment horizontal="center"/>
    </xf>
    <xf numFmtId="0" fontId="29" fillId="0" borderId="0" xfId="55" applyFont="1" applyFill="1" applyBorder="1" applyAlignment="1"/>
    <xf numFmtId="0" fontId="29" fillId="0" borderId="0" xfId="55" applyNumberFormat="1" applyFont="1" applyFill="1" applyBorder="1" applyAlignment="1">
      <alignment horizontal="left"/>
    </xf>
    <xf numFmtId="0" fontId="4" fillId="7" borderId="15" xfId="55" applyFont="1" applyFill="1" applyBorder="1"/>
    <xf numFmtId="0" fontId="51" fillId="7" borderId="16" xfId="55" applyFont="1" applyFill="1" applyBorder="1" applyAlignment="1">
      <alignment horizontal="left"/>
    </xf>
    <xf numFmtId="173" fontId="4" fillId="6" borderId="4" xfId="35" applyNumberFormat="1" applyFont="1" applyFill="1" applyBorder="1" applyAlignment="1">
      <alignment horizontal="right"/>
    </xf>
    <xf numFmtId="173" fontId="4" fillId="6" borderId="13" xfId="35" applyNumberFormat="1" applyFont="1" applyFill="1" applyBorder="1" applyAlignment="1">
      <alignment horizontal="right"/>
    </xf>
    <xf numFmtId="0" fontId="48" fillId="0" borderId="4" xfId="55" applyFont="1" applyBorder="1"/>
    <xf numFmtId="0" fontId="48" fillId="0" borderId="0" xfId="55" applyFont="1" applyBorder="1" applyAlignment="1"/>
    <xf numFmtId="173" fontId="4" fillId="6" borderId="10" xfId="35" applyNumberFormat="1" applyFont="1" applyFill="1" applyBorder="1" applyAlignment="1">
      <alignment horizontal="right"/>
    </xf>
    <xf numFmtId="0" fontId="4" fillId="0" borderId="0" xfId="55" applyFont="1" applyFill="1" applyAlignment="1">
      <alignment horizontal="center"/>
    </xf>
    <xf numFmtId="0" fontId="29" fillId="0" borderId="0" xfId="55" applyFont="1" applyBorder="1" applyAlignment="1">
      <alignment horizontal="left"/>
    </xf>
    <xf numFmtId="0" fontId="51" fillId="7" borderId="16" xfId="55" applyFont="1" applyFill="1" applyBorder="1" applyAlignment="1">
      <alignment horizontal="center" wrapText="1"/>
    </xf>
    <xf numFmtId="0" fontId="51" fillId="0" borderId="0" xfId="55" applyFont="1" applyBorder="1"/>
    <xf numFmtId="0" fontId="53" fillId="0" borderId="0" xfId="55" applyNumberFormat="1" applyFont="1" applyFill="1" applyBorder="1" applyAlignment="1">
      <alignment horizontal="center"/>
    </xf>
    <xf numFmtId="0" fontId="51" fillId="0" borderId="4" xfId="55" applyFont="1" applyBorder="1"/>
    <xf numFmtId="0" fontId="4" fillId="0" borderId="13" xfId="55" applyFont="1" applyBorder="1"/>
    <xf numFmtId="0" fontId="29" fillId="0" borderId="0" xfId="55" applyFont="1" applyFill="1" applyBorder="1" applyAlignment="1">
      <alignment horizontal="center"/>
    </xf>
    <xf numFmtId="0" fontId="4" fillId="0" borderId="10" xfId="55" applyFont="1" applyBorder="1"/>
    <xf numFmtId="3" fontId="29" fillId="0" borderId="0" xfId="55" applyNumberFormat="1" applyFont="1" applyBorder="1" applyAlignment="1"/>
    <xf numFmtId="3" fontId="29" fillId="0" borderId="0" xfId="55" applyNumberFormat="1" applyFont="1" applyBorder="1" applyAlignment="1">
      <alignment horizontal="center"/>
    </xf>
    <xf numFmtId="0" fontId="29" fillId="0" borderId="0" xfId="55" applyNumberFormat="1" applyFont="1" applyFill="1" applyBorder="1" applyAlignment="1"/>
    <xf numFmtId="0" fontId="29" fillId="0" borderId="0" xfId="55" applyNumberFormat="1" applyFont="1" applyBorder="1" applyAlignment="1">
      <alignment horizontal="left"/>
    </xf>
    <xf numFmtId="0" fontId="29" fillId="0" borderId="10" xfId="55" applyNumberFormat="1" applyFont="1" applyBorder="1" applyAlignment="1">
      <alignment horizontal="center"/>
    </xf>
    <xf numFmtId="0" fontId="53" fillId="0" borderId="4" xfId="55" applyNumberFormat="1" applyFont="1" applyBorder="1" applyAlignment="1">
      <alignment horizontal="center"/>
    </xf>
    <xf numFmtId="170" fontId="4" fillId="0" borderId="12" xfId="64" applyNumberFormat="1" applyFont="1" applyFill="1" applyBorder="1" applyAlignment="1">
      <alignment horizontal="center"/>
    </xf>
    <xf numFmtId="0" fontId="4" fillId="0" borderId="12" xfId="55" applyNumberFormat="1" applyFont="1" applyBorder="1" applyAlignment="1">
      <alignment horizontal="left"/>
    </xf>
    <xf numFmtId="172" fontId="4" fillId="0" borderId="4" xfId="55" applyNumberFormat="1" applyFont="1" applyBorder="1" applyAlignment="1"/>
    <xf numFmtId="0" fontId="4" fillId="0" borderId="4" xfId="55" applyNumberFormat="1" applyFont="1" applyBorder="1" applyAlignment="1">
      <alignment horizontal="center"/>
    </xf>
    <xf numFmtId="0" fontId="29" fillId="0" borderId="9" xfId="55" applyFont="1" applyFill="1" applyBorder="1" applyAlignment="1">
      <alignment horizontal="center"/>
    </xf>
    <xf numFmtId="0" fontId="29" fillId="6" borderId="0" xfId="55" applyFont="1" applyFill="1" applyBorder="1" applyAlignment="1">
      <alignment horizontal="center"/>
    </xf>
    <xf numFmtId="3" fontId="4" fillId="0" borderId="9" xfId="55" applyNumberFormat="1" applyFont="1" applyBorder="1" applyAlignment="1"/>
    <xf numFmtId="164" fontId="29" fillId="0" borderId="0" xfId="55" applyNumberFormat="1" applyFont="1" applyBorder="1" applyAlignment="1">
      <alignment horizontal="left"/>
    </xf>
    <xf numFmtId="0" fontId="4" fillId="0" borderId="10" xfId="55" applyNumberFormat="1" applyFont="1" applyBorder="1" applyAlignment="1">
      <alignment horizontal="center"/>
    </xf>
    <xf numFmtId="0" fontId="4" fillId="0" borderId="4" xfId="55" applyNumberFormat="1" applyFont="1" applyFill="1" applyBorder="1" applyAlignment="1">
      <alignment horizontal="left"/>
    </xf>
    <xf numFmtId="0" fontId="53" fillId="0" borderId="4" xfId="55" applyNumberFormat="1" applyFont="1" applyFill="1" applyBorder="1" applyAlignment="1">
      <alignment horizontal="center"/>
    </xf>
    <xf numFmtId="3" fontId="53" fillId="0" borderId="0" xfId="55" applyNumberFormat="1" applyFont="1" applyBorder="1" applyAlignment="1">
      <alignment horizontal="center"/>
    </xf>
    <xf numFmtId="0" fontId="4" fillId="0" borderId="12" xfId="55" applyNumberFormat="1" applyFont="1" applyFill="1" applyBorder="1" applyAlignment="1">
      <alignment horizontal="left"/>
    </xf>
    <xf numFmtId="3" fontId="4" fillId="0" borderId="0" xfId="55" applyNumberFormat="1" applyFont="1" applyFill="1" applyBorder="1" applyAlignment="1">
      <alignment horizontal="center"/>
    </xf>
    <xf numFmtId="0" fontId="53" fillId="0" borderId="0" xfId="55" applyFont="1" applyFill="1" applyBorder="1" applyAlignment="1"/>
    <xf numFmtId="173" fontId="29" fillId="0" borderId="4" xfId="35" applyNumberFormat="1" applyFont="1" applyFill="1" applyBorder="1"/>
    <xf numFmtId="0" fontId="4" fillId="0" borderId="9" xfId="55" applyFont="1" applyBorder="1" applyAlignment="1">
      <alignment horizontal="center" wrapText="1"/>
    </xf>
    <xf numFmtId="0" fontId="4" fillId="0" borderId="0" xfId="55" applyFont="1" applyBorder="1" applyAlignment="1">
      <alignment horizontal="center" wrapText="1"/>
    </xf>
    <xf numFmtId="0" fontId="51" fillId="0" borderId="0" xfId="55" applyFont="1" applyFill="1" applyBorder="1" applyAlignment="1">
      <alignment horizontal="center" wrapText="1"/>
    </xf>
    <xf numFmtId="173" fontId="29" fillId="0" borderId="0" xfId="35" applyNumberFormat="1" applyFont="1" applyFill="1" applyBorder="1"/>
    <xf numFmtId="0" fontId="51" fillId="0" borderId="0" xfId="55" applyFont="1" applyFill="1" applyBorder="1" applyAlignment="1">
      <alignment horizontal="center"/>
    </xf>
    <xf numFmtId="0" fontId="51" fillId="0" borderId="10" xfId="55" applyFont="1" applyFill="1" applyBorder="1" applyAlignment="1">
      <alignment horizontal="center"/>
    </xf>
    <xf numFmtId="173" fontId="4" fillId="0" borderId="4" xfId="35" applyNumberFormat="1" applyFont="1" applyFill="1" applyBorder="1" applyAlignment="1">
      <alignment horizontal="center"/>
    </xf>
    <xf numFmtId="173" fontId="4" fillId="0" borderId="10" xfId="35" applyNumberFormat="1" applyFont="1" applyFill="1" applyBorder="1"/>
    <xf numFmtId="3" fontId="4" fillId="0" borderId="0" xfId="60" applyNumberFormat="1" applyFont="1" applyBorder="1" applyAlignment="1">
      <alignment horizontal="right"/>
    </xf>
    <xf numFmtId="3" fontId="4" fillId="0" borderId="0" xfId="60" applyNumberFormat="1" applyFont="1" applyBorder="1" applyAlignment="1"/>
    <xf numFmtId="165" fontId="4" fillId="0" borderId="0" xfId="60" applyNumberFormat="1" applyFont="1" applyBorder="1" applyAlignment="1"/>
    <xf numFmtId="3" fontId="4" fillId="0" borderId="10" xfId="60" applyNumberFormat="1" applyFont="1" applyFill="1" applyBorder="1" applyAlignment="1"/>
    <xf numFmtId="3" fontId="4" fillId="0" borderId="0" xfId="60" applyNumberFormat="1" applyFont="1" applyFill="1" applyBorder="1" applyAlignment="1"/>
    <xf numFmtId="0" fontId="4" fillId="0" borderId="0" xfId="60" applyFont="1" applyFill="1" applyBorder="1" applyAlignment="1"/>
    <xf numFmtId="0" fontId="4" fillId="0" borderId="0" xfId="60" applyFont="1" applyBorder="1" applyAlignment="1"/>
    <xf numFmtId="0" fontId="4" fillId="0" borderId="10" xfId="60" applyNumberFormat="1" applyFont="1" applyBorder="1" applyAlignment="1" applyProtection="1">
      <alignment horizontal="center"/>
      <protection locked="0"/>
    </xf>
    <xf numFmtId="165" fontId="4" fillId="0" borderId="0" xfId="60" applyNumberFormat="1" applyFont="1" applyFill="1" applyBorder="1" applyAlignment="1"/>
    <xf numFmtId="0" fontId="51" fillId="0" borderId="15" xfId="55" applyFont="1" applyFill="1" applyBorder="1" applyAlignment="1">
      <alignment horizontal="center" wrapText="1"/>
    </xf>
    <xf numFmtId="173" fontId="29" fillId="0" borderId="15" xfId="35" applyNumberFormat="1" applyFont="1" applyFill="1" applyBorder="1"/>
    <xf numFmtId="173" fontId="4" fillId="0" borderId="15" xfId="35" applyNumberFormat="1" applyFont="1" applyFill="1" applyBorder="1" applyAlignment="1">
      <alignment horizontal="center"/>
    </xf>
    <xf numFmtId="173" fontId="4" fillId="0" borderId="16" xfId="35" applyNumberFormat="1" applyFont="1" applyFill="1" applyBorder="1"/>
    <xf numFmtId="0" fontId="4" fillId="0" borderId="15" xfId="55" applyFont="1" applyBorder="1" applyAlignment="1">
      <alignment horizontal="center"/>
    </xf>
    <xf numFmtId="0" fontId="4" fillId="0" borderId="15" xfId="55" applyNumberFormat="1" applyFont="1" applyFill="1" applyBorder="1" applyAlignment="1">
      <alignment horizontal="center"/>
    </xf>
    <xf numFmtId="0" fontId="53" fillId="0" borderId="15" xfId="55" applyFont="1" applyFill="1" applyBorder="1" applyAlignment="1"/>
    <xf numFmtId="0" fontId="29" fillId="0" borderId="15" xfId="55" applyNumberFormat="1" applyFont="1" applyFill="1" applyBorder="1" applyAlignment="1">
      <alignment horizontal="left"/>
    </xf>
    <xf numFmtId="0" fontId="4" fillId="0" borderId="16" xfId="55" applyNumberFormat="1" applyFont="1" applyFill="1" applyBorder="1" applyAlignment="1">
      <alignment horizontal="center"/>
    </xf>
    <xf numFmtId="0" fontId="51" fillId="7" borderId="17" xfId="55" applyFont="1" applyFill="1" applyBorder="1" applyAlignment="1">
      <alignment horizontal="center" wrapText="1"/>
    </xf>
    <xf numFmtId="0" fontId="4" fillId="0" borderId="0" xfId="55" applyNumberFormat="1" applyFont="1" applyBorder="1" applyAlignment="1">
      <alignment horizontal="center"/>
    </xf>
    <xf numFmtId="0" fontId="4" fillId="0" borderId="4" xfId="55" applyFont="1" applyBorder="1" applyAlignment="1"/>
    <xf numFmtId="0" fontId="4" fillId="0" borderId="9" xfId="55" applyFont="1" applyBorder="1" applyAlignment="1"/>
    <xf numFmtId="0" fontId="13" fillId="0" borderId="0" xfId="55" applyFont="1" applyBorder="1" applyAlignment="1"/>
    <xf numFmtId="173" fontId="4" fillId="0" borderId="10" xfId="35" applyNumberFormat="1" applyFont="1" applyFill="1" applyBorder="1" applyAlignment="1">
      <alignment horizontal="right"/>
    </xf>
    <xf numFmtId="0" fontId="54" fillId="0" borderId="0" xfId="55" applyNumberFormat="1" applyFont="1" applyFill="1" applyBorder="1" applyAlignment="1">
      <alignment horizontal="left"/>
    </xf>
    <xf numFmtId="3" fontId="4" fillId="0" borderId="0" xfId="55" applyNumberFormat="1" applyFont="1" applyBorder="1" applyAlignment="1">
      <alignment horizontal="right"/>
    </xf>
    <xf numFmtId="173" fontId="4" fillId="0" borderId="0" xfId="35" applyNumberFormat="1" applyFont="1" applyBorder="1" applyAlignment="1"/>
    <xf numFmtId="173" fontId="4" fillId="0" borderId="9" xfId="35" applyNumberFormat="1" applyFont="1" applyBorder="1" applyAlignment="1">
      <alignment horizontal="right"/>
    </xf>
    <xf numFmtId="173" fontId="4" fillId="0" borderId="9" xfId="35" applyNumberFormat="1" applyFont="1" applyFill="1" applyBorder="1" applyAlignment="1">
      <alignment horizontal="right"/>
    </xf>
    <xf numFmtId="0" fontId="4" fillId="0" borderId="9" xfId="55" applyNumberFormat="1" applyFont="1" applyFill="1" applyBorder="1" applyAlignment="1">
      <alignment horizontal="left"/>
    </xf>
    <xf numFmtId="173" fontId="4" fillId="0" borderId="0" xfId="55" applyNumberFormat="1" applyFont="1" applyBorder="1" applyAlignment="1"/>
    <xf numFmtId="3" fontId="4" fillId="0" borderId="9" xfId="55" applyNumberFormat="1" applyFont="1" applyBorder="1" applyAlignment="1">
      <alignment horizontal="left"/>
    </xf>
    <xf numFmtId="0" fontId="4" fillId="0" borderId="9" xfId="55" applyFont="1" applyBorder="1" applyAlignment="1">
      <alignment horizontal="left"/>
    </xf>
    <xf numFmtId="0" fontId="4" fillId="0" borderId="9" xfId="55" applyFont="1" applyBorder="1" applyAlignment="1">
      <alignment horizontal="right"/>
    </xf>
    <xf numFmtId="0" fontId="11" fillId="6" borderId="0" xfId="60" quotePrefix="1" applyNumberFormat="1" applyFont="1" applyFill="1" applyAlignment="1" applyProtection="1">
      <alignment horizontal="right"/>
      <protection locked="0"/>
    </xf>
    <xf numFmtId="0" fontId="11" fillId="6" borderId="0" xfId="60" applyNumberFormat="1" applyFont="1" applyFill="1"/>
    <xf numFmtId="0" fontId="24" fillId="6" borderId="0" xfId="60" applyFill="1" applyAlignment="1"/>
    <xf numFmtId="172" fontId="6" fillId="0" borderId="0" xfId="0" applyFont="1" applyAlignment="1">
      <alignment horizontal="center"/>
    </xf>
    <xf numFmtId="0" fontId="24" fillId="0" borderId="0" xfId="60" applyFont="1" applyAlignment="1">
      <alignment horizontal="right"/>
    </xf>
    <xf numFmtId="172" fontId="58" fillId="0" borderId="0" xfId="0" applyFont="1"/>
    <xf numFmtId="172" fontId="0" fillId="0" borderId="0" xfId="0"/>
    <xf numFmtId="173" fontId="58" fillId="0" borderId="0" xfId="0" applyNumberFormat="1" applyFont="1" applyProtection="1">
      <protection locked="0"/>
    </xf>
    <xf numFmtId="173" fontId="0" fillId="0" borderId="0" xfId="0" applyNumberFormat="1"/>
    <xf numFmtId="178" fontId="0" fillId="0" borderId="0" xfId="0" applyNumberFormat="1"/>
    <xf numFmtId="174" fontId="0" fillId="0" borderId="0" xfId="41" applyNumberFormat="1" applyFont="1"/>
    <xf numFmtId="174" fontId="0" fillId="0" borderId="0" xfId="0" applyNumberFormat="1"/>
    <xf numFmtId="173" fontId="4" fillId="0" borderId="0" xfId="34" applyNumberFormat="1" applyFont="1" applyFill="1" applyBorder="1" applyAlignment="1">
      <alignment horizontal="center"/>
    </xf>
    <xf numFmtId="0" fontId="50" fillId="0" borderId="0" xfId="55" applyFont="1" applyBorder="1" applyAlignment="1"/>
    <xf numFmtId="0" fontId="46" fillId="0" borderId="0" xfId="55" applyFont="1" applyBorder="1"/>
    <xf numFmtId="172" fontId="11" fillId="0" borderId="0" xfId="0" applyFont="1" applyFill="1" applyProtection="1">
      <protection locked="0"/>
    </xf>
    <xf numFmtId="172" fontId="48" fillId="0" borderId="0" xfId="0" applyFont="1" applyFill="1" applyAlignment="1" applyProtection="1">
      <alignment horizontal="center"/>
      <protection locked="0"/>
    </xf>
    <xf numFmtId="173" fontId="48" fillId="0" borderId="0" xfId="0" applyNumberFormat="1" applyFont="1" applyFill="1" applyProtection="1">
      <protection locked="0"/>
    </xf>
    <xf numFmtId="172" fontId="47" fillId="0" borderId="0" xfId="0" applyFont="1" applyFill="1" applyAlignment="1" applyProtection="1">
      <alignment horizontal="center"/>
      <protection locked="0"/>
    </xf>
    <xf numFmtId="173" fontId="48" fillId="0" borderId="4" xfId="0" applyNumberFormat="1" applyFont="1" applyFill="1" applyBorder="1" applyProtection="1">
      <protection locked="0"/>
    </xf>
    <xf numFmtId="172" fontId="48" fillId="0" borderId="4" xfId="0" applyFont="1" applyFill="1" applyBorder="1" applyAlignment="1" applyProtection="1">
      <alignment horizontal="center"/>
      <protection locked="0"/>
    </xf>
    <xf numFmtId="172" fontId="11" fillId="0" borderId="4" xfId="0" applyFont="1" applyFill="1" applyBorder="1" applyProtection="1">
      <protection locked="0"/>
    </xf>
    <xf numFmtId="0" fontId="47" fillId="0" borderId="0" xfId="0" applyNumberFormat="1" applyFont="1" applyFill="1" applyAlignment="1" applyProtection="1">
      <alignment horizontal="left"/>
      <protection locked="0"/>
    </xf>
    <xf numFmtId="172" fontId="47" fillId="0" borderId="0" xfId="0" applyFont="1" applyFill="1" applyAlignment="1" applyProtection="1">
      <alignment horizontal="center" wrapText="1"/>
      <protection locked="0"/>
    </xf>
    <xf numFmtId="173" fontId="47" fillId="0" borderId="0" xfId="0" applyNumberFormat="1" applyFont="1" applyFill="1" applyAlignment="1" applyProtection="1">
      <alignment horizontal="center" wrapText="1"/>
      <protection locked="0"/>
    </xf>
    <xf numFmtId="173" fontId="47" fillId="0" borderId="0" xfId="0" applyNumberFormat="1" applyFont="1" applyFill="1" applyAlignment="1" applyProtection="1">
      <alignment horizontal="center"/>
      <protection locked="0"/>
    </xf>
    <xf numFmtId="178" fontId="48" fillId="0" borderId="0" xfId="64" applyNumberFormat="1" applyFont="1" applyFill="1" applyProtection="1">
      <protection locked="0"/>
    </xf>
    <xf numFmtId="173" fontId="48" fillId="0" borderId="0" xfId="0" applyNumberFormat="1" applyFont="1" applyFill="1" applyAlignment="1" applyProtection="1">
      <alignment horizontal="center"/>
      <protection locked="0"/>
    </xf>
    <xf numFmtId="173" fontId="48" fillId="0" borderId="6" xfId="32" applyNumberFormat="1" applyFont="1" applyFill="1" applyBorder="1" applyProtection="1">
      <protection locked="0"/>
    </xf>
    <xf numFmtId="172" fontId="0" fillId="0" borderId="0" xfId="0" applyFill="1"/>
    <xf numFmtId="0" fontId="4" fillId="0" borderId="0" xfId="53" applyFont="1"/>
    <xf numFmtId="172" fontId="58" fillId="0" borderId="0" xfId="0" applyFont="1" applyFill="1" applyProtection="1">
      <protection locked="0"/>
    </xf>
    <xf numFmtId="172" fontId="0" fillId="0" borderId="0" xfId="0" applyFill="1" applyProtection="1">
      <protection locked="0"/>
    </xf>
    <xf numFmtId="172" fontId="48" fillId="0" borderId="0" xfId="0" applyFont="1" applyFill="1" applyProtection="1">
      <protection locked="0"/>
    </xf>
    <xf numFmtId="172" fontId="48" fillId="0" borderId="24" xfId="0" applyFont="1" applyFill="1" applyBorder="1" applyAlignment="1" applyProtection="1">
      <alignment horizontal="center" wrapText="1"/>
      <protection locked="0"/>
    </xf>
    <xf numFmtId="172" fontId="48" fillId="0" borderId="25" xfId="0" applyFont="1" applyFill="1" applyBorder="1" applyAlignment="1" applyProtection="1">
      <alignment horizontal="center" wrapText="1"/>
      <protection locked="0"/>
    </xf>
    <xf numFmtId="172" fontId="48" fillId="0" borderId="25" xfId="0" applyFont="1" applyFill="1" applyBorder="1" applyProtection="1">
      <protection locked="0"/>
    </xf>
    <xf numFmtId="5" fontId="48" fillId="0" borderId="26" xfId="0" applyNumberFormat="1" applyFont="1" applyFill="1" applyBorder="1" applyAlignment="1" applyProtection="1">
      <alignment horizontal="center"/>
      <protection locked="0"/>
    </xf>
    <xf numFmtId="173" fontId="48" fillId="0" borderId="0" xfId="0" applyNumberFormat="1" applyFont="1" applyFill="1" applyAlignment="1" applyProtection="1">
      <alignment horizontal="left"/>
      <protection locked="0"/>
    </xf>
    <xf numFmtId="172" fontId="55" fillId="0" borderId="0" xfId="0" applyFont="1" applyFill="1" applyAlignment="1" applyProtection="1">
      <alignment horizontal="center"/>
      <protection locked="0"/>
    </xf>
    <xf numFmtId="173" fontId="48" fillId="0" borderId="0" xfId="32" applyNumberFormat="1" applyFont="1" applyFill="1" applyProtection="1">
      <protection locked="0"/>
    </xf>
    <xf numFmtId="178" fontId="48" fillId="0" borderId="0" xfId="0" applyNumberFormat="1" applyFont="1" applyFill="1" applyProtection="1">
      <protection locked="0"/>
    </xf>
    <xf numFmtId="173" fontId="47" fillId="0" borderId="0" xfId="32" applyNumberFormat="1" applyFont="1" applyFill="1" applyProtection="1">
      <protection locked="0"/>
    </xf>
    <xf numFmtId="172" fontId="58" fillId="0" borderId="0" xfId="0" applyFont="1" applyFill="1"/>
    <xf numFmtId="173" fontId="47" fillId="0" borderId="0" xfId="32" applyNumberFormat="1" applyFont="1" applyFill="1" applyAlignment="1" applyProtection="1">
      <alignment horizontal="center"/>
      <protection locked="0"/>
    </xf>
    <xf numFmtId="172" fontId="55" fillId="0" borderId="0" xfId="0" applyFont="1" applyFill="1" applyProtection="1">
      <protection locked="0"/>
    </xf>
    <xf numFmtId="173" fontId="47" fillId="0" borderId="0" xfId="0" applyNumberFormat="1" applyFont="1" applyFill="1" applyProtection="1">
      <protection locked="0"/>
    </xf>
    <xf numFmtId="174" fontId="58" fillId="0" borderId="0" xfId="41" applyNumberFormat="1" applyFont="1" applyFill="1"/>
    <xf numFmtId="0" fontId="6" fillId="0" borderId="0" xfId="55" applyFont="1" applyFill="1"/>
    <xf numFmtId="0" fontId="33" fillId="0" borderId="0" xfId="55" applyFont="1" applyFill="1" applyBorder="1"/>
    <xf numFmtId="0" fontId="4" fillId="0" borderId="0" xfId="60" applyNumberFormat="1" applyFont="1" applyFill="1" applyBorder="1" applyAlignment="1"/>
    <xf numFmtId="0" fontId="63" fillId="0" borderId="0" xfId="55" applyNumberFormat="1" applyFont="1" applyFill="1" applyBorder="1" applyAlignment="1">
      <alignment horizontal="left"/>
    </xf>
    <xf numFmtId="172" fontId="0" fillId="0" borderId="0" xfId="0" applyFill="1" applyBorder="1" applyAlignment="1"/>
    <xf numFmtId="172" fontId="14" fillId="0" borderId="0" xfId="0" applyFont="1" applyFill="1" applyBorder="1" applyAlignment="1"/>
    <xf numFmtId="0" fontId="14" fillId="0" borderId="0" xfId="55" applyFont="1" applyFill="1" applyBorder="1" applyAlignment="1"/>
    <xf numFmtId="3" fontId="14" fillId="0" borderId="0" xfId="55" applyNumberFormat="1" applyFont="1" applyFill="1" applyBorder="1" applyAlignment="1">
      <alignment horizontal="center"/>
    </xf>
    <xf numFmtId="0" fontId="14" fillId="0" borderId="0" xfId="55" applyFont="1" applyFill="1" applyBorder="1" applyAlignment="1">
      <alignment horizontal="center"/>
    </xf>
    <xf numFmtId="172" fontId="14" fillId="0" borderId="9" xfId="0" applyFont="1" applyFill="1" applyBorder="1" applyAlignment="1"/>
    <xf numFmtId="0" fontId="29" fillId="0" borderId="16" xfId="55" applyFont="1" applyFill="1" applyBorder="1" applyAlignment="1">
      <alignment horizontal="center" wrapText="1"/>
    </xf>
    <xf numFmtId="0" fontId="29" fillId="0" borderId="15" xfId="54" applyFont="1" applyFill="1" applyBorder="1" applyAlignment="1">
      <alignment horizontal="center" wrapText="1"/>
    </xf>
    <xf numFmtId="0" fontId="56" fillId="0" borderId="10" xfId="55" applyNumberFormat="1" applyFont="1" applyFill="1" applyBorder="1" applyAlignment="1">
      <alignment horizontal="center"/>
    </xf>
    <xf numFmtId="0" fontId="56" fillId="0" borderId="0" xfId="55" applyFont="1" applyFill="1" applyBorder="1"/>
    <xf numFmtId="0" fontId="56" fillId="0" borderId="0" xfId="55" applyFont="1" applyFill="1" applyBorder="1" applyAlignment="1"/>
    <xf numFmtId="3" fontId="56" fillId="0" borderId="0" xfId="55" applyNumberFormat="1" applyFont="1" applyFill="1" applyBorder="1" applyAlignment="1">
      <alignment horizontal="center"/>
    </xf>
    <xf numFmtId="0" fontId="56" fillId="0" borderId="10" xfId="55" applyFont="1" applyFill="1" applyBorder="1"/>
    <xf numFmtId="0" fontId="56" fillId="0" borderId="9" xfId="55" applyFont="1" applyFill="1" applyBorder="1"/>
    <xf numFmtId="0" fontId="56" fillId="0" borderId="13" xfId="55" applyNumberFormat="1" applyFont="1" applyFill="1" applyBorder="1" applyAlignment="1">
      <alignment horizontal="center"/>
    </xf>
    <xf numFmtId="0" fontId="56" fillId="0" borderId="4" xfId="55" applyNumberFormat="1" applyFont="1" applyFill="1" applyBorder="1" applyAlignment="1">
      <alignment horizontal="right"/>
    </xf>
    <xf numFmtId="0" fontId="56" fillId="0" borderId="4" xfId="55" applyNumberFormat="1" applyFont="1" applyFill="1" applyBorder="1" applyAlignment="1">
      <alignment horizontal="left"/>
    </xf>
    <xf numFmtId="0" fontId="56" fillId="0" borderId="4" xfId="55" applyFont="1" applyFill="1" applyBorder="1" applyAlignment="1"/>
    <xf numFmtId="0" fontId="56" fillId="0" borderId="4" xfId="55" applyNumberFormat="1" applyFont="1" applyFill="1" applyBorder="1" applyAlignment="1">
      <alignment horizontal="center"/>
    </xf>
    <xf numFmtId="0" fontId="56" fillId="0" borderId="0" xfId="55" applyFont="1" applyFill="1"/>
    <xf numFmtId="173" fontId="56" fillId="0" borderId="4" xfId="55" applyNumberFormat="1" applyFont="1" applyFill="1" applyBorder="1" applyAlignment="1">
      <alignment horizontal="center"/>
    </xf>
    <xf numFmtId="173" fontId="24" fillId="0" borderId="0" xfId="32" applyNumberFormat="1" applyFont="1" applyFill="1" applyAlignment="1"/>
    <xf numFmtId="0" fontId="11" fillId="0" borderId="0" xfId="60" quotePrefix="1" applyNumberFormat="1" applyFont="1" applyFill="1" applyAlignment="1">
      <alignment horizontal="left"/>
    </xf>
    <xf numFmtId="0" fontId="39" fillId="0" borderId="0" xfId="60" applyNumberFormat="1" applyFont="1" applyFill="1" applyAlignment="1" applyProtection="1">
      <alignment horizontal="center"/>
      <protection locked="0"/>
    </xf>
    <xf numFmtId="0" fontId="14" fillId="0" borderId="0" xfId="55" applyNumberFormat="1" applyFont="1" applyFill="1" applyBorder="1" applyAlignment="1">
      <alignment horizontal="left"/>
    </xf>
    <xf numFmtId="0" fontId="11" fillId="0" borderId="6" xfId="60" applyNumberFormat="1" applyFont="1" applyBorder="1" applyAlignment="1"/>
    <xf numFmtId="3" fontId="11" fillId="0" borderId="6" xfId="60" applyNumberFormat="1" applyFont="1" applyFill="1" applyBorder="1" applyAlignment="1"/>
    <xf numFmtId="173" fontId="11" fillId="0" borderId="6" xfId="32" applyNumberFormat="1" applyFont="1" applyFill="1" applyBorder="1" applyAlignment="1"/>
    <xf numFmtId="3" fontId="11" fillId="0" borderId="6" xfId="60" applyNumberFormat="1" applyFont="1" applyBorder="1" applyAlignment="1"/>
    <xf numFmtId="173" fontId="11" fillId="0" borderId="6" xfId="32" applyNumberFormat="1" applyFont="1" applyBorder="1" applyAlignment="1"/>
    <xf numFmtId="0" fontId="0" fillId="0" borderId="6" xfId="60" applyFont="1" applyBorder="1" applyAlignment="1"/>
    <xf numFmtId="0" fontId="11" fillId="0" borderId="6" xfId="60" applyNumberFormat="1" applyFont="1" applyFill="1" applyBorder="1" applyAlignment="1"/>
    <xf numFmtId="173" fontId="24" fillId="0" borderId="6" xfId="32" applyNumberFormat="1" applyFont="1" applyBorder="1" applyAlignment="1"/>
    <xf numFmtId="0" fontId="24" fillId="0" borderId="6" xfId="60" applyBorder="1" applyAlignment="1"/>
    <xf numFmtId="10" fontId="11" fillId="0" borderId="6" xfId="60" applyNumberFormat="1" applyFont="1" applyBorder="1" applyAlignment="1">
      <alignment horizontal="left"/>
    </xf>
    <xf numFmtId="0" fontId="11" fillId="6" borderId="0" xfId="60" applyNumberFormat="1" applyFont="1" applyFill="1" applyAlignment="1">
      <alignment horizontal="left"/>
    </xf>
    <xf numFmtId="3" fontId="0" fillId="0" borderId="0" xfId="60" applyNumberFormat="1" applyFont="1" applyAlignment="1">
      <alignment horizontal="right"/>
    </xf>
    <xf numFmtId="43" fontId="14" fillId="0" borderId="0" xfId="55" applyNumberFormat="1" applyFont="1" applyFill="1" applyBorder="1" applyAlignment="1">
      <alignment horizontal="center"/>
    </xf>
    <xf numFmtId="173" fontId="4" fillId="6" borderId="0" xfId="32" applyNumberFormat="1" applyFont="1" applyFill="1" applyBorder="1"/>
    <xf numFmtId="0" fontId="54" fillId="0" borderId="15" xfId="55" applyFont="1" applyBorder="1" applyAlignment="1">
      <alignment horizontal="left"/>
    </xf>
    <xf numFmtId="0" fontId="4" fillId="0" borderId="9" xfId="55" applyFont="1" applyFill="1" applyBorder="1" applyAlignment="1">
      <alignment horizontal="left" wrapText="1"/>
    </xf>
    <xf numFmtId="0" fontId="4" fillId="0" borderId="12" xfId="55" applyFont="1" applyFill="1" applyBorder="1" applyAlignment="1">
      <alignment horizontal="left" wrapText="1"/>
    </xf>
    <xf numFmtId="173" fontId="11" fillId="0" borderId="0" xfId="32" applyNumberFormat="1" applyFont="1" applyFill="1"/>
    <xf numFmtId="0" fontId="4" fillId="6" borderId="0" xfId="55" applyFont="1" applyFill="1" applyBorder="1" applyAlignment="1">
      <alignment horizontal="center"/>
    </xf>
    <xf numFmtId="0" fontId="48" fillId="0" borderId="0" xfId="55" applyFont="1" applyFill="1" applyAlignment="1">
      <alignment vertical="top"/>
    </xf>
    <xf numFmtId="0" fontId="4" fillId="0" borderId="0" xfId="55" applyFill="1" applyAlignment="1">
      <alignment vertical="top"/>
    </xf>
    <xf numFmtId="179" fontId="11" fillId="0" borderId="0" xfId="32" applyNumberFormat="1" applyFont="1" applyFill="1" applyAlignment="1">
      <alignment horizontal="right"/>
    </xf>
    <xf numFmtId="10" fontId="11" fillId="0" borderId="0" xfId="64" applyNumberFormat="1" applyFont="1" applyBorder="1" applyAlignment="1"/>
    <xf numFmtId="172" fontId="48" fillId="6" borderId="0" xfId="0" applyFont="1" applyFill="1" applyProtection="1">
      <protection locked="0"/>
    </xf>
    <xf numFmtId="0" fontId="48" fillId="6" borderId="0" xfId="0" applyNumberFormat="1" applyFont="1" applyFill="1" applyAlignment="1" applyProtection="1">
      <alignment horizontal="center"/>
      <protection locked="0"/>
    </xf>
    <xf numFmtId="0" fontId="48" fillId="0" borderId="0" xfId="0" applyNumberFormat="1" applyFont="1" applyFill="1" applyAlignment="1" applyProtection="1">
      <alignment horizontal="center"/>
      <protection locked="0"/>
    </xf>
    <xf numFmtId="169" fontId="48" fillId="6" borderId="26" xfId="0" applyNumberFormat="1" applyFont="1" applyFill="1" applyBorder="1" applyAlignment="1" applyProtection="1">
      <alignment horizontal="center"/>
      <protection locked="0"/>
    </xf>
    <xf numFmtId="173" fontId="48" fillId="0" borderId="0" xfId="32" applyNumberFormat="1" applyFont="1" applyFill="1"/>
    <xf numFmtId="178" fontId="48" fillId="6" borderId="0" xfId="64" applyNumberFormat="1" applyFont="1" applyFill="1" applyProtection="1">
      <protection locked="0"/>
    </xf>
    <xf numFmtId="0" fontId="11" fillId="0" borderId="0" xfId="0" applyNumberFormat="1" applyFont="1" applyFill="1" applyBorder="1" applyAlignment="1"/>
    <xf numFmtId="0" fontId="64" fillId="0" borderId="0" xfId="0" applyNumberFormat="1" applyFont="1" applyFill="1" applyBorder="1" applyAlignment="1"/>
    <xf numFmtId="0" fontId="4" fillId="0" borderId="0" xfId="55" applyNumberFormat="1" applyFont="1" applyBorder="1" applyAlignment="1">
      <alignment horizontal="left"/>
    </xf>
    <xf numFmtId="164" fontId="4" fillId="6" borderId="0" xfId="66" applyNumberFormat="1" applyFont="1" applyFill="1" applyBorder="1" applyAlignment="1">
      <alignment horizontal="center"/>
    </xf>
    <xf numFmtId="9" fontId="4" fillId="6" borderId="0" xfId="66" applyFont="1" applyFill="1" applyBorder="1" applyAlignment="1">
      <alignment horizontal="center"/>
    </xf>
    <xf numFmtId="172" fontId="6" fillId="0" borderId="0" xfId="0" applyFont="1" applyFill="1" applyAlignment="1" applyProtection="1">
      <protection locked="0"/>
    </xf>
    <xf numFmtId="172" fontId="4" fillId="0" borderId="0" xfId="0" applyFont="1"/>
    <xf numFmtId="173" fontId="4" fillId="0" borderId="0" xfId="35" applyNumberFormat="1" applyFont="1" applyAlignment="1"/>
    <xf numFmtId="172" fontId="4" fillId="0" borderId="0" xfId="0" applyFont="1" applyBorder="1" applyAlignment="1">
      <alignment horizontal="centerContinuous"/>
    </xf>
    <xf numFmtId="0" fontId="4" fillId="0" borderId="10" xfId="55" applyFont="1" applyFill="1" applyBorder="1"/>
    <xf numFmtId="0" fontId="66" fillId="0" borderId="0" xfId="53" applyFont="1"/>
    <xf numFmtId="0" fontId="11" fillId="0" borderId="0" xfId="53" applyFont="1"/>
    <xf numFmtId="0" fontId="11" fillId="0" borderId="0" xfId="53" applyFont="1" applyFill="1"/>
    <xf numFmtId="0" fontId="11" fillId="0" borderId="0" xfId="53" applyFont="1" applyFill="1" applyAlignment="1"/>
    <xf numFmtId="0" fontId="11" fillId="0" borderId="0" xfId="53" applyFont="1" applyFill="1" applyAlignment="1">
      <alignment horizontal="center"/>
    </xf>
    <xf numFmtId="0" fontId="11" fillId="0" borderId="0" xfId="53" applyFont="1" applyBorder="1"/>
    <xf numFmtId="0" fontId="11" fillId="0" borderId="0" xfId="53" applyFont="1" applyBorder="1" applyAlignment="1"/>
    <xf numFmtId="0" fontId="11" fillId="0" borderId="0" xfId="53" applyFont="1" applyFill="1" applyBorder="1"/>
    <xf numFmtId="41" fontId="6" fillId="0" borderId="0" xfId="53" applyNumberFormat="1" applyFont="1" applyBorder="1" applyAlignment="1">
      <alignment horizontal="center"/>
    </xf>
    <xf numFmtId="0" fontId="11" fillId="0" borderId="0" xfId="53" applyFont="1" applyFill="1" applyBorder="1" applyAlignment="1">
      <alignment horizontal="left"/>
    </xf>
    <xf numFmtId="0" fontId="11" fillId="0" borderId="0" xfId="53" applyFont="1" applyAlignment="1">
      <alignment horizontal="left"/>
    </xf>
    <xf numFmtId="0" fontId="48" fillId="0" borderId="0" xfId="53" applyFont="1" applyFill="1" applyAlignment="1">
      <alignment horizontal="left"/>
    </xf>
    <xf numFmtId="0" fontId="48" fillId="0" borderId="0" xfId="53" applyFont="1" applyFill="1"/>
    <xf numFmtId="0" fontId="48" fillId="0" borderId="0" xfId="53" applyFont="1" applyFill="1" applyAlignment="1">
      <alignment horizontal="right"/>
    </xf>
    <xf numFmtId="37" fontId="48" fillId="0" borderId="0" xfId="53" applyNumberFormat="1" applyFont="1" applyFill="1"/>
    <xf numFmtId="37" fontId="48" fillId="0" borderId="0" xfId="53" applyNumberFormat="1" applyFont="1" applyFill="1" applyAlignment="1">
      <alignment horizontal="left"/>
    </xf>
    <xf numFmtId="43" fontId="48" fillId="0" borderId="0" xfId="53" applyNumberFormat="1" applyFont="1" applyFill="1"/>
    <xf numFmtId="0" fontId="48" fillId="6" borderId="30" xfId="53" applyFont="1" applyFill="1" applyBorder="1"/>
    <xf numFmtId="41" fontId="48" fillId="6" borderId="7" xfId="53" applyNumberFormat="1" applyFont="1" applyFill="1" applyBorder="1"/>
    <xf numFmtId="41" fontId="48" fillId="6" borderId="7" xfId="33" applyFont="1" applyFill="1" applyBorder="1"/>
    <xf numFmtId="0" fontId="48" fillId="6" borderId="31" xfId="53" applyFont="1" applyFill="1" applyBorder="1" applyAlignment="1">
      <alignment wrapText="1"/>
    </xf>
    <xf numFmtId="0" fontId="48" fillId="6" borderId="30" xfId="53" applyFont="1" applyFill="1" applyBorder="1" applyAlignment="1">
      <alignment wrapText="1"/>
    </xf>
    <xf numFmtId="0" fontId="48" fillId="6" borderId="7" xfId="53" applyFont="1" applyFill="1" applyBorder="1"/>
    <xf numFmtId="37" fontId="48" fillId="0" borderId="31" xfId="53" applyNumberFormat="1" applyFont="1" applyFill="1" applyBorder="1" applyAlignment="1">
      <alignment wrapText="1"/>
    </xf>
    <xf numFmtId="173" fontId="48" fillId="6" borderId="7" xfId="32" applyNumberFormat="1" applyFont="1" applyFill="1" applyBorder="1"/>
    <xf numFmtId="173" fontId="48" fillId="6" borderId="7" xfId="32" applyNumberFormat="1" applyFont="1" applyFill="1" applyBorder="1" applyAlignment="1">
      <alignment horizontal="right"/>
    </xf>
    <xf numFmtId="173" fontId="48" fillId="6" borderId="7" xfId="32" applyNumberFormat="1" applyFont="1" applyFill="1" applyBorder="1" applyAlignment="1">
      <alignment horizontal="center"/>
    </xf>
    <xf numFmtId="173" fontId="48" fillId="6" borderId="32" xfId="32" applyNumberFormat="1" applyFont="1" applyFill="1" applyBorder="1"/>
    <xf numFmtId="0" fontId="48" fillId="6" borderId="33" xfId="53" applyFont="1" applyFill="1" applyBorder="1" applyAlignment="1">
      <alignment wrapText="1"/>
    </xf>
    <xf numFmtId="0" fontId="48" fillId="0" borderId="0" xfId="53" applyFont="1" applyBorder="1"/>
    <xf numFmtId="0" fontId="48" fillId="0" borderId="0" xfId="53" applyFont="1" applyFill="1" applyBorder="1" applyAlignment="1">
      <alignment wrapText="1"/>
    </xf>
    <xf numFmtId="0" fontId="48" fillId="0" borderId="0" xfId="53" applyFont="1" applyBorder="1" applyAlignment="1">
      <alignment horizontal="left"/>
    </xf>
    <xf numFmtId="37" fontId="48" fillId="6" borderId="34" xfId="53" applyNumberFormat="1" applyFont="1" applyFill="1" applyBorder="1" applyAlignment="1">
      <alignment horizontal="center"/>
    </xf>
    <xf numFmtId="37" fontId="48" fillId="6" borderId="7" xfId="53" applyNumberFormat="1" applyFont="1" applyFill="1" applyBorder="1"/>
    <xf numFmtId="0" fontId="48" fillId="6" borderId="34" xfId="53" applyFont="1" applyFill="1" applyBorder="1" applyAlignment="1">
      <alignment horizontal="center"/>
    </xf>
    <xf numFmtId="173" fontId="48" fillId="0" borderId="7" xfId="32" applyNumberFormat="1" applyFont="1" applyFill="1" applyBorder="1"/>
    <xf numFmtId="0" fontId="48" fillId="0" borderId="0" xfId="53" applyFont="1" applyFill="1" applyBorder="1"/>
    <xf numFmtId="37" fontId="48" fillId="0" borderId="0" xfId="53" applyNumberFormat="1" applyFont="1" applyFill="1" applyBorder="1"/>
    <xf numFmtId="0" fontId="48" fillId="0" borderId="0" xfId="53" applyFont="1" applyFill="1" applyBorder="1" applyAlignment="1">
      <alignment horizontal="center"/>
    </xf>
    <xf numFmtId="37" fontId="48" fillId="0" borderId="0" xfId="53" applyNumberFormat="1" applyFont="1" applyFill="1" applyBorder="1" applyAlignment="1">
      <alignment horizontal="center"/>
    </xf>
    <xf numFmtId="173" fontId="48" fillId="6" borderId="32" xfId="32" applyNumberFormat="1" applyFont="1" applyFill="1" applyBorder="1" applyAlignment="1">
      <alignment horizontal="right"/>
    </xf>
    <xf numFmtId="173" fontId="48" fillId="0" borderId="0" xfId="53" applyNumberFormat="1"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Continuous"/>
    </xf>
    <xf numFmtId="0" fontId="48" fillId="0" borderId="0" xfId="53" applyFont="1" applyFill="1" applyBorder="1" applyAlignment="1">
      <alignment horizontal="left"/>
    </xf>
    <xf numFmtId="0" fontId="68" fillId="0" borderId="0" xfId="53" applyFont="1" applyFill="1" applyAlignment="1">
      <alignment horizontal="center"/>
    </xf>
    <xf numFmtId="0" fontId="48" fillId="0" borderId="0" xfId="53" applyFont="1" applyFill="1" applyAlignment="1">
      <alignment horizontal="center"/>
    </xf>
    <xf numFmtId="0" fontId="48" fillId="0" borderId="34" xfId="53" applyFont="1" applyBorder="1"/>
    <xf numFmtId="173" fontId="48" fillId="0" borderId="7" xfId="32" applyNumberFormat="1" applyFont="1" applyBorder="1"/>
    <xf numFmtId="0" fontId="48" fillId="0" borderId="35" xfId="53" applyFont="1" applyFill="1" applyBorder="1"/>
    <xf numFmtId="0" fontId="48" fillId="0" borderId="36" xfId="53" applyFont="1" applyFill="1" applyBorder="1"/>
    <xf numFmtId="0" fontId="48" fillId="0" borderId="37" xfId="53" applyFont="1" applyFill="1" applyBorder="1"/>
    <xf numFmtId="173" fontId="48" fillId="0" borderId="38" xfId="32" applyNumberFormat="1" applyFont="1" applyFill="1" applyBorder="1"/>
    <xf numFmtId="0" fontId="48" fillId="0" borderId="39" xfId="53" applyFont="1" applyFill="1" applyBorder="1" applyAlignment="1">
      <alignment wrapText="1"/>
    </xf>
    <xf numFmtId="37" fontId="48" fillId="0" borderId="0" xfId="53" applyNumberFormat="1" applyFont="1" applyFill="1" applyBorder="1" applyAlignment="1">
      <alignment wrapText="1"/>
    </xf>
    <xf numFmtId="0" fontId="48" fillId="0" borderId="30" xfId="53" applyFont="1" applyFill="1" applyBorder="1" applyAlignment="1"/>
    <xf numFmtId="0" fontId="48" fillId="0" borderId="30" xfId="53" applyFont="1" applyFill="1" applyBorder="1"/>
    <xf numFmtId="0" fontId="48" fillId="0" borderId="40" xfId="53" applyFont="1" applyFill="1" applyBorder="1"/>
    <xf numFmtId="0" fontId="48" fillId="0" borderId="34" xfId="53" applyFont="1" applyFill="1" applyBorder="1" applyAlignment="1"/>
    <xf numFmtId="0" fontId="48" fillId="0" borderId="34" xfId="53" applyFont="1" applyFill="1" applyBorder="1"/>
    <xf numFmtId="0" fontId="48" fillId="0" borderId="41" xfId="53" applyFont="1" applyFill="1" applyBorder="1"/>
    <xf numFmtId="173" fontId="48" fillId="0" borderId="38" xfId="32" applyNumberFormat="1" applyFont="1" applyFill="1" applyBorder="1" applyAlignment="1">
      <alignment horizontal="right"/>
    </xf>
    <xf numFmtId="0" fontId="46" fillId="0" borderId="0" xfId="53" applyFont="1" applyFill="1" applyBorder="1"/>
    <xf numFmtId="41" fontId="48" fillId="0" borderId="0" xfId="53" applyNumberFormat="1" applyFont="1" applyFill="1" applyBorder="1" applyAlignment="1">
      <alignment horizontal="center"/>
    </xf>
    <xf numFmtId="0" fontId="68" fillId="0" borderId="0" xfId="53" applyFont="1" applyFill="1" applyAlignment="1">
      <alignment horizontal="left"/>
    </xf>
    <xf numFmtId="0" fontId="68" fillId="0" borderId="0" xfId="53" applyFont="1" applyFill="1"/>
    <xf numFmtId="173" fontId="68" fillId="0" borderId="0" xfId="32" applyNumberFormat="1" applyFont="1" applyFill="1"/>
    <xf numFmtId="37" fontId="68" fillId="0" borderId="0" xfId="53" applyNumberFormat="1" applyFont="1" applyFill="1"/>
    <xf numFmtId="37" fontId="68" fillId="0" borderId="0" xfId="53" applyNumberFormat="1" applyFont="1" applyFill="1" applyAlignment="1">
      <alignment horizontal="left"/>
    </xf>
    <xf numFmtId="43" fontId="68" fillId="0" borderId="0" xfId="53" applyNumberFormat="1" applyFont="1" applyFill="1"/>
    <xf numFmtId="0" fontId="68" fillId="6" borderId="30" xfId="53" applyFont="1" applyFill="1" applyBorder="1"/>
    <xf numFmtId="41" fontId="68" fillId="6" borderId="7" xfId="53" applyNumberFormat="1" applyFont="1" applyFill="1" applyBorder="1"/>
    <xf numFmtId="41" fontId="68" fillId="6" borderId="7" xfId="33" applyFont="1" applyFill="1" applyBorder="1"/>
    <xf numFmtId="0" fontId="68" fillId="6" borderId="31" xfId="53" applyFont="1" applyFill="1" applyBorder="1" applyAlignment="1">
      <alignment wrapText="1"/>
    </xf>
    <xf numFmtId="0" fontId="68" fillId="6" borderId="30" xfId="53" applyFont="1" applyFill="1" applyBorder="1" applyAlignment="1">
      <alignment wrapText="1"/>
    </xf>
    <xf numFmtId="0" fontId="68" fillId="6" borderId="7" xfId="53" applyFont="1" applyFill="1" applyBorder="1"/>
    <xf numFmtId="37" fontId="68" fillId="0" borderId="31" xfId="53" applyNumberFormat="1" applyFont="1" applyFill="1" applyBorder="1" applyAlignment="1">
      <alignment wrapText="1"/>
    </xf>
    <xf numFmtId="173" fontId="68" fillId="6" borderId="7" xfId="32" applyNumberFormat="1" applyFont="1" applyFill="1" applyBorder="1"/>
    <xf numFmtId="173" fontId="68" fillId="6" borderId="7" xfId="32" applyNumberFormat="1" applyFont="1" applyFill="1" applyBorder="1" applyAlignment="1">
      <alignment horizontal="right"/>
    </xf>
    <xf numFmtId="173" fontId="68" fillId="6" borderId="7" xfId="32" applyNumberFormat="1" applyFont="1" applyFill="1" applyBorder="1" applyAlignment="1">
      <alignment horizontal="center"/>
    </xf>
    <xf numFmtId="173" fontId="68" fillId="6" borderId="32" xfId="32" applyNumberFormat="1" applyFont="1" applyFill="1" applyBorder="1"/>
    <xf numFmtId="0" fontId="68" fillId="6" borderId="33" xfId="53" applyFont="1" applyFill="1" applyBorder="1" applyAlignment="1">
      <alignment wrapText="1"/>
    </xf>
    <xf numFmtId="0" fontId="68" fillId="0" borderId="0" xfId="53" applyFont="1" applyBorder="1"/>
    <xf numFmtId="0" fontId="68" fillId="0" borderId="0" xfId="53" applyFont="1" applyFill="1" applyBorder="1" applyAlignment="1">
      <alignment wrapText="1"/>
    </xf>
    <xf numFmtId="0" fontId="68" fillId="0" borderId="0" xfId="53" applyFont="1" applyBorder="1" applyAlignment="1">
      <alignment horizontal="left"/>
    </xf>
    <xf numFmtId="37" fontId="68" fillId="6" borderId="34" xfId="53" applyNumberFormat="1" applyFont="1" applyFill="1" applyBorder="1" applyAlignment="1">
      <alignment horizontal="center"/>
    </xf>
    <xf numFmtId="37" fontId="68" fillId="6" borderId="7" xfId="53" applyNumberFormat="1" applyFont="1" applyFill="1" applyBorder="1"/>
    <xf numFmtId="0" fontId="68" fillId="6" borderId="34" xfId="53" applyFont="1" applyFill="1" applyBorder="1" applyAlignment="1">
      <alignment horizontal="center"/>
    </xf>
    <xf numFmtId="173" fontId="68" fillId="0" borderId="7" xfId="32" applyNumberFormat="1" applyFont="1" applyFill="1" applyBorder="1"/>
    <xf numFmtId="0" fontId="68" fillId="0" borderId="0" xfId="53" applyFont="1" applyFill="1" applyBorder="1"/>
    <xf numFmtId="37" fontId="68" fillId="0" borderId="0" xfId="53" applyNumberFormat="1" applyFont="1" applyFill="1" applyBorder="1"/>
    <xf numFmtId="0" fontId="68" fillId="0" borderId="0" xfId="53" applyFont="1" applyFill="1" applyBorder="1" applyAlignment="1">
      <alignment horizontal="center"/>
    </xf>
    <xf numFmtId="37" fontId="68" fillId="0" borderId="0" xfId="53" applyNumberFormat="1" applyFont="1" applyFill="1" applyBorder="1" applyAlignment="1">
      <alignment horizontal="center"/>
    </xf>
    <xf numFmtId="173" fontId="68" fillId="6" borderId="32" xfId="32" applyNumberFormat="1" applyFont="1" applyFill="1" applyBorder="1" applyAlignment="1">
      <alignment horizontal="right"/>
    </xf>
    <xf numFmtId="173" fontId="68" fillId="0" borderId="0" xfId="53" applyNumberFormat="1" applyFont="1" applyFill="1" applyBorder="1" applyAlignment="1">
      <alignment wrapText="1"/>
    </xf>
    <xf numFmtId="0" fontId="68" fillId="0" borderId="0" xfId="53" applyFont="1" applyBorder="1" applyAlignment="1">
      <alignment wrapText="1"/>
    </xf>
    <xf numFmtId="0" fontId="68" fillId="0" borderId="0" xfId="53" applyFont="1" applyFill="1" applyBorder="1" applyAlignment="1">
      <alignment horizontal="centerContinuous"/>
    </xf>
    <xf numFmtId="0" fontId="68" fillId="0" borderId="0" xfId="53" applyFont="1" applyFill="1" applyBorder="1" applyAlignment="1">
      <alignment horizontal="left"/>
    </xf>
    <xf numFmtId="173" fontId="68" fillId="0" borderId="0" xfId="32" applyNumberFormat="1" applyFont="1" applyFill="1" applyBorder="1"/>
    <xf numFmtId="0" fontId="68" fillId="0" borderId="34" xfId="53" applyFont="1" applyBorder="1"/>
    <xf numFmtId="173" fontId="68" fillId="0" borderId="7" xfId="32" applyNumberFormat="1" applyFont="1" applyBorder="1"/>
    <xf numFmtId="0" fontId="68" fillId="0" borderId="35" xfId="53" applyFont="1" applyFill="1" applyBorder="1"/>
    <xf numFmtId="0" fontId="68" fillId="0" borderId="36" xfId="53" applyFont="1" applyFill="1" applyBorder="1"/>
    <xf numFmtId="0" fontId="68" fillId="0" borderId="37" xfId="53" applyFont="1" applyFill="1" applyBorder="1"/>
    <xf numFmtId="173" fontId="68" fillId="0" borderId="38" xfId="32" applyNumberFormat="1" applyFont="1" applyFill="1" applyBorder="1"/>
    <xf numFmtId="0" fontId="68" fillId="0" borderId="39" xfId="53" applyFont="1" applyFill="1" applyBorder="1" applyAlignment="1">
      <alignment wrapText="1"/>
    </xf>
    <xf numFmtId="37" fontId="68" fillId="0" borderId="0" xfId="53" applyNumberFormat="1" applyFont="1" applyFill="1" applyBorder="1" applyAlignment="1">
      <alignment wrapText="1"/>
    </xf>
    <xf numFmtId="0" fontId="68" fillId="0" borderId="30" xfId="53" applyFont="1" applyFill="1" applyBorder="1" applyAlignment="1"/>
    <xf numFmtId="0" fontId="68" fillId="0" borderId="30" xfId="53" applyFont="1" applyFill="1" applyBorder="1"/>
    <xf numFmtId="0" fontId="68" fillId="0" borderId="40" xfId="53" applyFont="1" applyFill="1" applyBorder="1"/>
    <xf numFmtId="0" fontId="68" fillId="0" borderId="34" xfId="53" applyFont="1" applyFill="1" applyBorder="1" applyAlignment="1"/>
    <xf numFmtId="0" fontId="68" fillId="0" borderId="34" xfId="53" applyFont="1" applyFill="1" applyBorder="1"/>
    <xf numFmtId="0" fontId="68" fillId="0" borderId="41" xfId="53" applyFont="1" applyFill="1" applyBorder="1"/>
    <xf numFmtId="173" fontId="68" fillId="0" borderId="38" xfId="32" applyNumberFormat="1" applyFont="1" applyFill="1" applyBorder="1" applyAlignment="1">
      <alignment horizontal="right"/>
    </xf>
    <xf numFmtId="41" fontId="68" fillId="0" borderId="0" xfId="53" applyNumberFormat="1" applyFont="1" applyFill="1" applyBorder="1" applyAlignment="1">
      <alignment horizontal="center"/>
    </xf>
    <xf numFmtId="0" fontId="68" fillId="0" borderId="0" xfId="53" applyFont="1" applyFill="1" applyAlignment="1">
      <alignment horizontal="right"/>
    </xf>
    <xf numFmtId="0" fontId="68" fillId="0" borderId="0" xfId="60" applyNumberFormat="1" applyFont="1" applyFill="1" applyProtection="1">
      <protection locked="0"/>
    </xf>
    <xf numFmtId="0" fontId="68" fillId="0" borderId="0" xfId="60" applyFont="1" applyFill="1" applyAlignment="1"/>
    <xf numFmtId="0" fontId="6" fillId="0" borderId="0" xfId="0" applyNumberFormat="1" applyFont="1" applyBorder="1" applyAlignment="1">
      <alignment horizontal="left"/>
    </xf>
    <xf numFmtId="2" fontId="0" fillId="0" borderId="0" xfId="0" applyNumberFormat="1" applyBorder="1" applyAlignment="1">
      <alignment horizontal="center" wrapText="1"/>
    </xf>
    <xf numFmtId="2" fontId="0" fillId="0" borderId="0" xfId="0" applyNumberFormat="1" applyBorder="1"/>
    <xf numFmtId="0" fontId="11" fillId="0" borderId="0" xfId="0" applyNumberFormat="1" applyFont="1" applyBorder="1" applyAlignment="1">
      <alignment horizontal="left"/>
    </xf>
    <xf numFmtId="0" fontId="11" fillId="0" borderId="0" xfId="0" applyNumberFormat="1" applyFont="1" applyBorder="1"/>
    <xf numFmtId="0" fontId="11" fillId="0" borderId="0" xfId="0" applyNumberFormat="1" applyFont="1" applyFill="1" applyBorder="1"/>
    <xf numFmtId="0" fontId="69" fillId="0" borderId="0" xfId="0" applyNumberFormat="1" applyFont="1"/>
    <xf numFmtId="173" fontId="4" fillId="0" borderId="10" xfId="32" applyNumberFormat="1" applyFont="1" applyFill="1" applyBorder="1" applyAlignment="1"/>
    <xf numFmtId="173" fontId="11" fillId="0" borderId="10" xfId="32" applyNumberFormat="1" applyFont="1" applyFill="1" applyBorder="1" applyAlignment="1"/>
    <xf numFmtId="0" fontId="66" fillId="8" borderId="0" xfId="0" applyNumberFormat="1" applyFont="1" applyFill="1" applyBorder="1" applyAlignment="1">
      <alignment horizontal="left"/>
    </xf>
    <xf numFmtId="0" fontId="66" fillId="8" borderId="0" xfId="0" applyNumberFormat="1" applyFont="1" applyFill="1" applyAlignment="1"/>
    <xf numFmtId="0" fontId="66" fillId="8" borderId="0" xfId="0" applyNumberFormat="1" applyFont="1" applyFill="1"/>
    <xf numFmtId="43" fontId="66" fillId="8" borderId="0" xfId="32" applyFont="1" applyFill="1"/>
    <xf numFmtId="176" fontId="66" fillId="8" borderId="0" xfId="64" applyNumberFormat="1" applyFont="1" applyFill="1"/>
    <xf numFmtId="43" fontId="66" fillId="8" borderId="0" xfId="0" applyNumberFormat="1" applyFont="1" applyFill="1"/>
    <xf numFmtId="0" fontId="68" fillId="9" borderId="0" xfId="60" applyNumberFormat="1" applyFont="1" applyFill="1" applyProtection="1">
      <protection locked="0"/>
    </xf>
    <xf numFmtId="0" fontId="49" fillId="0" borderId="0" xfId="55" applyFont="1" applyFill="1" applyBorder="1" applyAlignment="1">
      <alignment horizontal="left"/>
    </xf>
    <xf numFmtId="0" fontId="49" fillId="0" borderId="0" xfId="55" applyFont="1" applyFill="1" applyBorder="1" applyAlignment="1"/>
    <xf numFmtId="0" fontId="48" fillId="0" borderId="0" xfId="55" applyFont="1" applyFill="1" applyBorder="1" applyAlignment="1">
      <alignment horizontal="center" wrapText="1"/>
    </xf>
    <xf numFmtId="0" fontId="48" fillId="0" borderId="9" xfId="55" applyFont="1" applyFill="1" applyBorder="1" applyAlignment="1">
      <alignment horizontal="center" wrapText="1"/>
    </xf>
    <xf numFmtId="0" fontId="48" fillId="0" borderId="9" xfId="55" applyFont="1" applyBorder="1"/>
    <xf numFmtId="172" fontId="69" fillId="0" borderId="0" xfId="0" applyFont="1" applyFill="1" applyProtection="1">
      <protection locked="0"/>
    </xf>
    <xf numFmtId="178" fontId="0" fillId="0" borderId="0" xfId="0" applyNumberFormat="1" applyFill="1"/>
    <xf numFmtId="174" fontId="24" fillId="0" borderId="0" xfId="41" applyNumberFormat="1" applyFont="1" applyFill="1"/>
    <xf numFmtId="173" fontId="53" fillId="6" borderId="0" xfId="32" applyNumberFormat="1" applyFont="1" applyFill="1" applyBorder="1" applyAlignment="1">
      <alignment horizontal="center"/>
    </xf>
    <xf numFmtId="173" fontId="53" fillId="6" borderId="6" xfId="32" applyNumberFormat="1" applyFont="1" applyFill="1" applyBorder="1" applyAlignment="1">
      <alignment horizontal="center"/>
    </xf>
    <xf numFmtId="173" fontId="53" fillId="0" borderId="0" xfId="32" applyNumberFormat="1" applyFont="1" applyFill="1" applyBorder="1" applyAlignment="1">
      <alignment horizontal="center"/>
    </xf>
    <xf numFmtId="173" fontId="4" fillId="0" borderId="0" xfId="32" applyNumberFormat="1" applyFont="1" applyBorder="1" applyAlignment="1">
      <alignment horizontal="center"/>
    </xf>
    <xf numFmtId="173" fontId="53" fillId="0" borderId="0" xfId="32" applyNumberFormat="1" applyFont="1" applyBorder="1" applyAlignment="1">
      <alignment horizontal="center"/>
    </xf>
    <xf numFmtId="172" fontId="71" fillId="0" borderId="0" xfId="0" applyFont="1" applyAlignment="1"/>
    <xf numFmtId="0" fontId="51" fillId="7" borderId="0" xfId="55" applyFont="1" applyFill="1" applyBorder="1" applyAlignment="1">
      <alignment horizontal="center" wrapText="1"/>
    </xf>
    <xf numFmtId="43" fontId="4" fillId="0" borderId="0" xfId="55" applyNumberFormat="1" applyFont="1" applyFill="1" applyBorder="1" applyAlignment="1">
      <alignment horizontal="center"/>
    </xf>
    <xf numFmtId="0" fontId="73" fillId="0" borderId="0" xfId="55" applyFont="1" applyFill="1"/>
    <xf numFmtId="0" fontId="51" fillId="0" borderId="16" xfId="55" applyFont="1" applyFill="1" applyBorder="1" applyAlignment="1">
      <alignment horizontal="left"/>
    </xf>
    <xf numFmtId="0" fontId="4" fillId="0" borderId="15" xfId="55" applyFont="1" applyBorder="1"/>
    <xf numFmtId="0" fontId="4" fillId="0" borderId="14" xfId="55" applyFont="1" applyBorder="1"/>
    <xf numFmtId="0" fontId="4" fillId="11" borderId="0" xfId="55" applyFont="1" applyFill="1"/>
    <xf numFmtId="0" fontId="51" fillId="0" borderId="16" xfId="55" applyFont="1" applyFill="1" applyBorder="1" applyAlignment="1">
      <alignment horizontal="center" wrapText="1"/>
    </xf>
    <xf numFmtId="3" fontId="29" fillId="0" borderId="0" xfId="55" applyNumberFormat="1" applyFont="1" applyFill="1" applyBorder="1" applyAlignment="1">
      <alignment horizontal="center"/>
    </xf>
    <xf numFmtId="0" fontId="51" fillId="12" borderId="0" xfId="55" applyFont="1" applyFill="1" applyBorder="1" applyAlignment="1">
      <alignment horizontal="left"/>
    </xf>
    <xf numFmtId="0" fontId="4" fillId="12" borderId="0" xfId="55" applyFont="1" applyFill="1"/>
    <xf numFmtId="172" fontId="73" fillId="0" borderId="0" xfId="0" applyFont="1" applyFill="1" applyBorder="1" applyAlignment="1"/>
    <xf numFmtId="0" fontId="73" fillId="0" borderId="4" xfId="55" applyFont="1" applyFill="1" applyBorder="1"/>
    <xf numFmtId="0" fontId="68" fillId="0" borderId="0" xfId="0" applyNumberFormat="1" applyFont="1" applyFill="1" applyBorder="1" applyAlignment="1"/>
    <xf numFmtId="0" fontId="74" fillId="0" borderId="0" xfId="55" applyFont="1" applyFill="1" applyBorder="1" applyAlignment="1">
      <alignment horizontal="left"/>
    </xf>
    <xf numFmtId="43" fontId="14" fillId="13" borderId="0" xfId="55" applyNumberFormat="1" applyFont="1" applyFill="1" applyBorder="1" applyAlignment="1">
      <alignment horizontal="center"/>
    </xf>
    <xf numFmtId="173" fontId="56" fillId="13" borderId="13" xfId="35" applyNumberFormat="1" applyFont="1" applyFill="1" applyBorder="1" applyAlignment="1">
      <alignment horizontal="right"/>
    </xf>
    <xf numFmtId="173" fontId="56" fillId="13" borderId="4" xfId="35" applyNumberFormat="1" applyFont="1" applyFill="1" applyBorder="1" applyAlignment="1">
      <alignment horizontal="right"/>
    </xf>
    <xf numFmtId="172" fontId="75" fillId="0" borderId="0" xfId="0" applyFont="1" applyBorder="1" applyAlignment="1"/>
    <xf numFmtId="0" fontId="4" fillId="0" borderId="0" xfId="55" applyNumberFormat="1" applyFont="1" applyFill="1" applyBorder="1" applyAlignment="1">
      <alignment horizontal="right"/>
    </xf>
    <xf numFmtId="0" fontId="53" fillId="0" borderId="0" xfId="55" applyFont="1" applyFill="1" applyBorder="1" applyAlignment="1">
      <alignment horizontal="center"/>
    </xf>
    <xf numFmtId="173" fontId="4" fillId="13" borderId="0" xfId="35" applyNumberFormat="1" applyFont="1" applyFill="1" applyBorder="1" applyAlignment="1">
      <alignment horizontal="right"/>
    </xf>
    <xf numFmtId="173" fontId="4" fillId="13" borderId="10" xfId="35" applyNumberFormat="1" applyFont="1" applyFill="1" applyBorder="1" applyAlignment="1">
      <alignment horizontal="right"/>
    </xf>
    <xf numFmtId="43" fontId="11" fillId="0" borderId="0" xfId="32" applyFont="1" applyAlignment="1"/>
    <xf numFmtId="177" fontId="11" fillId="0" borderId="0" xfId="32" applyNumberFormat="1" applyFont="1" applyAlignment="1"/>
    <xf numFmtId="179" fontId="11" fillId="0" borderId="0" xfId="32" applyNumberFormat="1" applyFont="1" applyAlignment="1"/>
    <xf numFmtId="179" fontId="11" fillId="0" borderId="6" xfId="32" applyNumberFormat="1" applyFont="1" applyBorder="1" applyAlignment="1"/>
    <xf numFmtId="43" fontId="11" fillId="0" borderId="0" xfId="32" applyFont="1" applyFill="1" applyAlignment="1"/>
    <xf numFmtId="179" fontId="11" fillId="0" borderId="0" xfId="32" applyNumberFormat="1" applyFont="1" applyFill="1" applyAlignment="1"/>
    <xf numFmtId="179" fontId="11" fillId="0" borderId="6" xfId="32" applyNumberFormat="1" applyFont="1" applyFill="1" applyBorder="1" applyAlignment="1"/>
    <xf numFmtId="43" fontId="11" fillId="6" borderId="0" xfId="32" applyFont="1" applyFill="1" applyAlignment="1"/>
    <xf numFmtId="43" fontId="11" fillId="6" borderId="0" xfId="32" applyNumberFormat="1" applyFont="1" applyFill="1" applyAlignment="1"/>
    <xf numFmtId="43" fontId="11" fillId="6" borderId="4" xfId="32" applyFont="1" applyFill="1" applyBorder="1" applyAlignment="1"/>
    <xf numFmtId="43" fontId="11" fillId="0" borderId="4" xfId="32" applyFont="1" applyBorder="1" applyAlignment="1"/>
    <xf numFmtId="43" fontId="11" fillId="0" borderId="0" xfId="32" quotePrefix="1" applyFont="1" applyFill="1" applyAlignment="1">
      <alignment horizontal="right"/>
    </xf>
    <xf numFmtId="43" fontId="11" fillId="0" borderId="4" xfId="32" quotePrefix="1" applyFont="1" applyBorder="1" applyAlignment="1">
      <alignment horizontal="right"/>
    </xf>
    <xf numFmtId="177" fontId="11" fillId="0" borderId="4" xfId="32" applyNumberFormat="1" applyFont="1" applyBorder="1" applyAlignment="1"/>
    <xf numFmtId="43" fontId="68" fillId="6" borderId="0" xfId="32" applyFont="1" applyFill="1" applyProtection="1">
      <protection locked="0"/>
    </xf>
    <xf numFmtId="179" fontId="11" fillId="0" borderId="0" xfId="32" applyNumberFormat="1" applyFont="1" applyFill="1" applyAlignment="1">
      <alignment horizontal="center"/>
    </xf>
    <xf numFmtId="179" fontId="11" fillId="0" borderId="0" xfId="32" applyNumberFormat="1" applyFont="1" applyAlignment="1">
      <alignment horizontal="center"/>
    </xf>
    <xf numFmtId="179" fontId="24" fillId="0" borderId="0" xfId="32" applyNumberFormat="1" applyFont="1" applyFill="1" applyAlignment="1"/>
    <xf numFmtId="179" fontId="11" fillId="0" borderId="0" xfId="32" applyNumberFormat="1" applyFont="1" applyFill="1" applyBorder="1" applyAlignment="1"/>
    <xf numFmtId="43" fontId="48" fillId="0" borderId="0" xfId="32" applyFont="1" applyFill="1"/>
    <xf numFmtId="172" fontId="68" fillId="0" borderId="0" xfId="0" applyFont="1" applyFill="1" applyAlignment="1"/>
    <xf numFmtId="10" fontId="68" fillId="0" borderId="0" xfId="60" applyNumberFormat="1" applyFont="1" applyFill="1" applyProtection="1">
      <protection locked="0"/>
    </xf>
    <xf numFmtId="0" fontId="0" fillId="0" borderId="0" xfId="60" applyFont="1" applyFill="1" applyAlignment="1"/>
    <xf numFmtId="3" fontId="24" fillId="0" borderId="0" xfId="60" applyNumberFormat="1" applyFont="1" applyFill="1" applyBorder="1" applyAlignment="1"/>
    <xf numFmtId="173" fontId="24" fillId="0" borderId="0" xfId="60" applyNumberFormat="1" applyFill="1" applyAlignment="1"/>
    <xf numFmtId="0" fontId="0" fillId="0" borderId="0" xfId="60" applyFont="1" applyFill="1" applyBorder="1" applyAlignment="1">
      <alignment horizontal="left"/>
    </xf>
    <xf numFmtId="0" fontId="11" fillId="0" borderId="0" xfId="60" applyNumberFormat="1" applyFont="1" applyFill="1" applyAlignment="1">
      <alignment horizontal="center"/>
    </xf>
    <xf numFmtId="49" fontId="11" fillId="0" borderId="0" xfId="60" applyNumberFormat="1" applyFont="1" applyFill="1" applyAlignment="1">
      <alignment horizontal="left"/>
    </xf>
    <xf numFmtId="173" fontId="11" fillId="0" borderId="0" xfId="32" applyNumberFormat="1" applyFont="1" applyFill="1" applyAlignment="1">
      <alignment horizontal="center"/>
    </xf>
    <xf numFmtId="49" fontId="11" fillId="0" borderId="0" xfId="32" applyNumberFormat="1" applyFont="1" applyFill="1" applyAlignment="1">
      <alignment horizontal="center"/>
    </xf>
    <xf numFmtId="0" fontId="0" fillId="0" borderId="0" xfId="60" applyFont="1" applyFill="1" applyAlignment="1">
      <alignment wrapText="1"/>
    </xf>
    <xf numFmtId="3" fontId="0" fillId="0" borderId="0" xfId="60" applyNumberFormat="1" applyFont="1" applyFill="1" applyBorder="1" applyAlignment="1"/>
    <xf numFmtId="0" fontId="33" fillId="0" borderId="0" xfId="60" applyNumberFormat="1" applyFont="1" applyFill="1" applyAlignment="1"/>
    <xf numFmtId="3" fontId="35" fillId="0" borderId="0" xfId="60" applyNumberFormat="1" applyFont="1" applyFill="1" applyBorder="1" applyAlignment="1"/>
    <xf numFmtId="0" fontId="35" fillId="0" borderId="0" xfId="60" applyNumberFormat="1" applyFont="1" applyFill="1" applyAlignment="1">
      <alignment horizontal="left"/>
    </xf>
    <xf numFmtId="3" fontId="11" fillId="0" borderId="0" xfId="60" applyNumberFormat="1" applyFont="1" applyFill="1" applyBorder="1" applyAlignment="1">
      <alignment horizontal="right"/>
    </xf>
    <xf numFmtId="3" fontId="4" fillId="0" borderId="0" xfId="55" applyNumberFormat="1" applyFont="1" applyFill="1" applyBorder="1" applyAlignment="1">
      <alignment horizontal="center" wrapText="1"/>
    </xf>
    <xf numFmtId="173" fontId="14" fillId="0" borderId="0" xfId="32" applyNumberFormat="1" applyFont="1" applyFill="1" applyBorder="1" applyAlignment="1">
      <alignment horizontal="center"/>
    </xf>
    <xf numFmtId="173" fontId="4" fillId="0" borderId="0" xfId="32" applyNumberFormat="1" applyFont="1" applyFill="1" applyBorder="1" applyAlignment="1">
      <alignment horizontal="center"/>
    </xf>
    <xf numFmtId="173" fontId="4" fillId="0" borderId="0" xfId="32" applyNumberFormat="1" applyFont="1" applyFill="1" applyBorder="1" applyAlignment="1">
      <alignment horizontal="center" wrapText="1"/>
    </xf>
    <xf numFmtId="172" fontId="4" fillId="0" borderId="0" xfId="0" applyFont="1" applyFill="1" applyBorder="1" applyAlignment="1"/>
    <xf numFmtId="173" fontId="4" fillId="0" borderId="0" xfId="32" applyNumberFormat="1" applyFont="1" applyFill="1" applyBorder="1"/>
    <xf numFmtId="172" fontId="57" fillId="0" borderId="0" xfId="0" applyFont="1" applyFill="1" applyBorder="1" applyAlignment="1"/>
    <xf numFmtId="0" fontId="33" fillId="0" borderId="0" xfId="55" applyFont="1" applyFill="1" applyBorder="1" applyAlignment="1"/>
    <xf numFmtId="0" fontId="33" fillId="0" borderId="0" xfId="55" applyFont="1" applyFill="1" applyBorder="1" applyAlignment="1">
      <alignment horizontal="center"/>
    </xf>
    <xf numFmtId="173" fontId="33" fillId="0" borderId="0" xfId="32" applyNumberFormat="1" applyFont="1" applyFill="1" applyBorder="1" applyAlignment="1">
      <alignment horizontal="center"/>
    </xf>
    <xf numFmtId="173" fontId="33" fillId="0" borderId="0" xfId="32" applyNumberFormat="1" applyFont="1" applyFill="1" applyBorder="1" applyAlignment="1">
      <alignment horizontal="center" wrapText="1"/>
    </xf>
    <xf numFmtId="173" fontId="4" fillId="13" borderId="0" xfId="32" applyNumberFormat="1" applyFont="1" applyFill="1" applyBorder="1" applyAlignment="1">
      <alignment horizontal="center"/>
    </xf>
    <xf numFmtId="173" fontId="4" fillId="0" borderId="0" xfId="55" applyNumberFormat="1" applyFont="1" applyFill="1" applyBorder="1"/>
    <xf numFmtId="173" fontId="4" fillId="13" borderId="0" xfId="32" applyNumberFormat="1" applyFont="1" applyFill="1" applyBorder="1"/>
    <xf numFmtId="0" fontId="66" fillId="0" borderId="0" xfId="53" applyFont="1" applyFill="1"/>
    <xf numFmtId="0" fontId="66" fillId="0" borderId="0" xfId="53" applyFont="1" applyFill="1" applyBorder="1"/>
    <xf numFmtId="0" fontId="68" fillId="0" borderId="0" xfId="53" applyFont="1" applyFill="1" applyBorder="1" applyAlignment="1"/>
    <xf numFmtId="0" fontId="48" fillId="0" borderId="0" xfId="53" applyFont="1" applyFill="1" applyBorder="1" applyAlignment="1"/>
    <xf numFmtId="173" fontId="0" fillId="0" borderId="0" xfId="32" applyNumberFormat="1" applyFont="1" applyAlignment="1"/>
    <xf numFmtId="0" fontId="11" fillId="0" borderId="0" xfId="59" applyNumberFormat="1" applyFont="1" applyFill="1" applyBorder="1" applyAlignment="1" applyProtection="1">
      <protection locked="0"/>
    </xf>
    <xf numFmtId="0" fontId="11" fillId="0" borderId="0" xfId="59" applyNumberFormat="1" applyFont="1" applyFill="1" applyBorder="1" applyAlignment="1" applyProtection="1">
      <alignment horizontal="center"/>
      <protection locked="0"/>
    </xf>
    <xf numFmtId="0" fontId="40" fillId="6" borderId="0" xfId="59" applyNumberFormat="1" applyFont="1" applyFill="1" applyAlignment="1">
      <alignment horizontal="right"/>
    </xf>
    <xf numFmtId="3" fontId="11" fillId="0" borderId="0" xfId="59" applyNumberFormat="1" applyFont="1" applyFill="1" applyBorder="1" applyAlignment="1"/>
    <xf numFmtId="0" fontId="11" fillId="0" borderId="0" xfId="59" applyNumberFormat="1" applyFont="1" applyFill="1" applyBorder="1" applyProtection="1">
      <protection locked="0"/>
    </xf>
    <xf numFmtId="0" fontId="11" fillId="0" borderId="0" xfId="59" applyNumberFormat="1" applyFont="1" applyFill="1" applyBorder="1"/>
    <xf numFmtId="0" fontId="40" fillId="0" borderId="0" xfId="62" applyNumberFormat="1" applyFont="1" applyFill="1" applyAlignment="1">
      <alignment horizontal="center"/>
    </xf>
    <xf numFmtId="172" fontId="40" fillId="0" borderId="0" xfId="0" applyFont="1" applyAlignment="1"/>
    <xf numFmtId="43" fontId="40" fillId="0" borderId="0" xfId="32" applyFont="1" applyAlignment="1"/>
    <xf numFmtId="173" fontId="40" fillId="0" borderId="0" xfId="32" applyNumberFormat="1" applyFont="1" applyAlignment="1" applyProtection="1">
      <alignment horizontal="center"/>
      <protection locked="0"/>
    </xf>
    <xf numFmtId="0" fontId="40" fillId="0" borderId="0" xfId="62" applyNumberFormat="1" applyFont="1" applyAlignment="1" applyProtection="1">
      <protection locked="0"/>
    </xf>
    <xf numFmtId="3" fontId="40" fillId="0" borderId="0" xfId="62" applyNumberFormat="1" applyFont="1" applyAlignment="1"/>
    <xf numFmtId="3" fontId="40" fillId="0" borderId="4" xfId="62" applyNumberFormat="1" applyFont="1" applyBorder="1" applyAlignment="1">
      <alignment horizontal="center"/>
    </xf>
    <xf numFmtId="0" fontId="40" fillId="0" borderId="0" xfId="62" applyNumberFormat="1" applyFont="1" applyAlignment="1"/>
    <xf numFmtId="3" fontId="40" fillId="0" borderId="0" xfId="62" applyNumberFormat="1" applyFont="1" applyAlignment="1">
      <alignment horizontal="center"/>
    </xf>
    <xf numFmtId="0" fontId="40" fillId="0" borderId="4" xfId="62" applyNumberFormat="1" applyFont="1" applyBorder="1" applyAlignment="1" applyProtection="1">
      <alignment horizontal="center"/>
      <protection locked="0"/>
    </xf>
    <xf numFmtId="172" fontId="40" fillId="0" borderId="0" xfId="62" applyFont="1" applyFill="1" applyAlignment="1"/>
    <xf numFmtId="168" fontId="40" fillId="0" borderId="0" xfId="62" applyNumberFormat="1" applyFont="1" applyAlignment="1"/>
    <xf numFmtId="172" fontId="40" fillId="0" borderId="0" xfId="62" applyFont="1" applyAlignment="1"/>
    <xf numFmtId="43" fontId="40" fillId="0" borderId="0" xfId="32" applyFont="1" applyFill="1" applyAlignment="1">
      <alignment horizontal="center"/>
    </xf>
    <xf numFmtId="3" fontId="40" fillId="0" borderId="0" xfId="62" applyNumberFormat="1" applyFont="1" applyFill="1" applyAlignment="1"/>
    <xf numFmtId="166" fontId="40" fillId="0" borderId="0" xfId="62" applyNumberFormat="1" applyFont="1" applyAlignment="1">
      <alignment horizontal="center"/>
    </xf>
    <xf numFmtId="173" fontId="40" fillId="0" borderId="0" xfId="32" applyNumberFormat="1" applyFont="1" applyBorder="1" applyAlignment="1"/>
    <xf numFmtId="10" fontId="40" fillId="0" borderId="0" xfId="62" applyNumberFormat="1" applyFont="1" applyFill="1" applyAlignment="1">
      <alignment horizontal="left"/>
    </xf>
    <xf numFmtId="3" fontId="40" fillId="0" borderId="0" xfId="56" applyNumberFormat="1" applyFont="1" applyAlignment="1"/>
    <xf numFmtId="166" fontId="40" fillId="0" borderId="0" xfId="56" applyNumberFormat="1" applyFont="1" applyAlignment="1"/>
    <xf numFmtId="43" fontId="40" fillId="0" borderId="0" xfId="32" applyFont="1" applyBorder="1" applyAlignment="1"/>
    <xf numFmtId="0" fontId="40" fillId="0" borderId="0" xfId="56" applyFont="1" applyAlignment="1"/>
    <xf numFmtId="0" fontId="4" fillId="13" borderId="0" xfId="55" applyFont="1" applyFill="1" applyBorder="1" applyAlignment="1"/>
    <xf numFmtId="0" fontId="4" fillId="13" borderId="6" xfId="55" applyFont="1" applyFill="1" applyBorder="1" applyAlignment="1"/>
    <xf numFmtId="173" fontId="14" fillId="13" borderId="0" xfId="32" applyNumberFormat="1" applyFont="1" applyFill="1" applyBorder="1" applyAlignment="1">
      <alignment horizontal="center"/>
    </xf>
    <xf numFmtId="173" fontId="4" fillId="13" borderId="6" xfId="32" applyNumberFormat="1" applyFont="1" applyFill="1" applyBorder="1"/>
    <xf numFmtId="173" fontId="14" fillId="13" borderId="6" xfId="32" applyNumberFormat="1" applyFont="1" applyFill="1" applyBorder="1" applyAlignment="1">
      <alignment horizontal="center"/>
    </xf>
    <xf numFmtId="173" fontId="40" fillId="0" borderId="0" xfId="32" applyNumberFormat="1" applyFont="1" applyAlignment="1"/>
    <xf numFmtId="0" fontId="40" fillId="0" borderId="0" xfId="0" applyNumberFormat="1" applyFont="1"/>
    <xf numFmtId="0" fontId="40" fillId="0" borderId="0" xfId="0" applyNumberFormat="1" applyFont="1" applyAlignment="1">
      <alignment horizontal="left"/>
    </xf>
    <xf numFmtId="3" fontId="4" fillId="0" borderId="6" xfId="55" applyNumberFormat="1" applyFont="1" applyFill="1" applyBorder="1" applyAlignment="1"/>
    <xf numFmtId="0" fontId="4" fillId="0" borderId="0" xfId="60" applyNumberFormat="1" applyFont="1" applyBorder="1" applyAlignment="1"/>
    <xf numFmtId="0" fontId="24" fillId="0" borderId="0" xfId="60" applyFill="1" applyAlignment="1">
      <alignment horizontal="center"/>
    </xf>
    <xf numFmtId="0" fontId="4" fillId="13" borderId="0" xfId="55" applyFont="1" applyFill="1" applyBorder="1"/>
    <xf numFmtId="0" fontId="11" fillId="13" borderId="0" xfId="60" applyNumberFormat="1" applyFont="1" applyFill="1"/>
    <xf numFmtId="0" fontId="11" fillId="13" borderId="0" xfId="60" applyNumberFormat="1" applyFont="1" applyFill="1" applyProtection="1">
      <protection locked="0"/>
    </xf>
    <xf numFmtId="0" fontId="24" fillId="13" borderId="0" xfId="60" applyFill="1" applyAlignment="1"/>
    <xf numFmtId="0" fontId="29" fillId="13" borderId="0" xfId="55" applyFont="1" applyFill="1" applyBorder="1" applyAlignment="1">
      <alignment horizontal="center"/>
    </xf>
    <xf numFmtId="0" fontId="29" fillId="0" borderId="0" xfId="53" applyFont="1" applyAlignment="1">
      <alignment horizontal="center"/>
    </xf>
    <xf numFmtId="173" fontId="4" fillId="0" borderId="0" xfId="32" applyNumberFormat="1" applyFont="1"/>
    <xf numFmtId="42" fontId="4" fillId="0" borderId="0" xfId="53" applyNumberFormat="1" applyFont="1"/>
    <xf numFmtId="43" fontId="68" fillId="0" borderId="0" xfId="32" applyFont="1" applyFill="1"/>
    <xf numFmtId="172" fontId="0" fillId="0" borderId="0" xfId="60" applyNumberFormat="1" applyFont="1" applyFill="1" applyAlignment="1"/>
    <xf numFmtId="0" fontId="40" fillId="0" borderId="0" xfId="0" applyNumberFormat="1" applyFont="1" applyAlignment="1">
      <alignment horizontal="center"/>
    </xf>
    <xf numFmtId="173" fontId="40" fillId="0" borderId="0" xfId="0" applyNumberFormat="1" applyFont="1" applyFill="1"/>
    <xf numFmtId="173" fontId="40" fillId="0" borderId="0" xfId="32" applyNumberFormat="1" applyFont="1" applyFill="1"/>
    <xf numFmtId="0" fontId="40" fillId="0" borderId="0" xfId="0" applyNumberFormat="1" applyFont="1" applyFill="1"/>
    <xf numFmtId="0" fontId="40" fillId="0" borderId="0" xfId="53" applyFont="1"/>
    <xf numFmtId="0" fontId="52" fillId="7" borderId="0" xfId="55" applyFont="1" applyFill="1" applyBorder="1" applyAlignment="1">
      <alignment horizontal="center" wrapText="1"/>
    </xf>
    <xf numFmtId="0" fontId="51" fillId="0" borderId="0" xfId="55" applyFont="1" applyFill="1" applyBorder="1" applyAlignment="1"/>
    <xf numFmtId="3" fontId="4" fillId="0" borderId="0" xfId="55" applyNumberFormat="1" applyFont="1" applyFill="1" applyBorder="1" applyAlignment="1">
      <alignment horizontal="right"/>
    </xf>
    <xf numFmtId="0" fontId="4" fillId="0" borderId="0" xfId="55" applyFont="1" applyFill="1" applyBorder="1" applyAlignment="1">
      <alignment horizontal="right"/>
    </xf>
    <xf numFmtId="173" fontId="4" fillId="0" borderId="0" xfId="55" applyNumberFormat="1" applyFont="1" applyFill="1" applyBorder="1" applyAlignment="1"/>
    <xf numFmtId="173" fontId="4" fillId="0" borderId="0" xfId="55" applyNumberFormat="1" applyFont="1" applyFill="1" applyBorder="1" applyAlignment="1">
      <alignment horizontal="right"/>
    </xf>
    <xf numFmtId="0" fontId="51" fillId="0" borderId="10" xfId="55" applyFont="1" applyFill="1" applyBorder="1" applyAlignment="1">
      <alignment horizontal="left"/>
    </xf>
    <xf numFmtId="0" fontId="3" fillId="0" borderId="0" xfId="55" applyFont="1" applyAlignment="1"/>
    <xf numFmtId="0" fontId="4" fillId="0" borderId="15" xfId="55" applyFont="1" applyFill="1" applyBorder="1" applyAlignment="1"/>
    <xf numFmtId="0" fontId="4" fillId="0" borderId="0" xfId="55" applyFont="1" applyBorder="1" applyAlignment="1">
      <alignment horizontal="center" wrapText="1"/>
    </xf>
    <xf numFmtId="0" fontId="51" fillId="0" borderId="15" xfId="55" applyFont="1" applyFill="1" applyBorder="1" applyAlignment="1">
      <alignment horizontal="center" wrapText="1"/>
    </xf>
    <xf numFmtId="0" fontId="4" fillId="0" borderId="9" xfId="55" applyFont="1" applyBorder="1" applyAlignment="1">
      <alignment horizontal="center" wrapText="1"/>
    </xf>
    <xf numFmtId="0" fontId="4" fillId="0" borderId="15" xfId="55" applyFont="1" applyBorder="1" applyAlignment="1">
      <alignment horizontal="center" wrapText="1"/>
    </xf>
    <xf numFmtId="0" fontId="4" fillId="0" borderId="14" xfId="55" applyFont="1" applyBorder="1" applyAlignment="1">
      <alignment horizontal="center" wrapText="1"/>
    </xf>
    <xf numFmtId="173" fontId="11" fillId="0" borderId="0" xfId="32" applyNumberFormat="1" applyFont="1" applyBorder="1" applyAlignment="1"/>
    <xf numFmtId="166" fontId="11" fillId="0" borderId="0" xfId="60" applyNumberFormat="1" applyFont="1" applyBorder="1" applyAlignment="1">
      <alignment horizontal="center"/>
    </xf>
    <xf numFmtId="9" fontId="11" fillId="0" borderId="0" xfId="64" applyFont="1" applyAlignment="1">
      <alignment horizontal="center"/>
    </xf>
    <xf numFmtId="173" fontId="61" fillId="0" borderId="0" xfId="32" applyNumberFormat="1" applyFont="1" applyAlignment="1"/>
    <xf numFmtId="173" fontId="4" fillId="13" borderId="0" xfId="35" applyNumberFormat="1" applyFont="1" applyFill="1" applyBorder="1" applyAlignment="1">
      <alignment horizontal="left"/>
    </xf>
    <xf numFmtId="0" fontId="4" fillId="13" borderId="9" xfId="55" applyFont="1" applyFill="1" applyBorder="1" applyAlignment="1">
      <alignment horizontal="center"/>
    </xf>
    <xf numFmtId="0" fontId="47" fillId="0" borderId="4" xfId="55" applyFont="1" applyBorder="1" applyAlignment="1"/>
    <xf numFmtId="173" fontId="47" fillId="0" borderId="4" xfId="35" applyNumberFormat="1" applyFont="1" applyBorder="1" applyAlignment="1"/>
    <xf numFmtId="173" fontId="29" fillId="0" borderId="4" xfId="35" applyNumberFormat="1" applyFont="1" applyBorder="1" applyAlignment="1"/>
    <xf numFmtId="0" fontId="4" fillId="13" borderId="0" xfId="55" applyFont="1" applyFill="1" applyBorder="1" applyAlignment="1">
      <alignment horizontal="left"/>
    </xf>
    <xf numFmtId="0" fontId="4" fillId="13" borderId="9" xfId="55" applyFont="1" applyFill="1" applyBorder="1"/>
    <xf numFmtId="173" fontId="29" fillId="13" borderId="4" xfId="35" applyNumberFormat="1" applyFont="1" applyFill="1" applyBorder="1" applyAlignment="1"/>
    <xf numFmtId="0" fontId="4" fillId="13" borderId="4" xfId="55" applyFont="1" applyFill="1" applyBorder="1" applyAlignment="1">
      <alignment horizontal="center" wrapText="1"/>
    </xf>
    <xf numFmtId="0" fontId="4" fillId="13" borderId="12" xfId="55" applyFont="1" applyFill="1" applyBorder="1" applyAlignment="1">
      <alignment horizontal="center" wrapText="1"/>
    </xf>
    <xf numFmtId="42" fontId="0" fillId="0" borderId="0" xfId="60" applyNumberFormat="1" applyFont="1" applyFill="1" applyAlignment="1"/>
    <xf numFmtId="173" fontId="4" fillId="0" borderId="15" xfId="0" applyNumberFormat="1" applyFont="1" applyFill="1" applyBorder="1" applyAlignment="1" applyProtection="1">
      <alignment horizontal="center" wrapText="1"/>
    </xf>
    <xf numFmtId="0" fontId="53" fillId="0" borderId="4" xfId="55" applyFont="1" applyFill="1" applyBorder="1" applyAlignment="1"/>
    <xf numFmtId="173" fontId="4" fillId="0" borderId="13" xfId="35" applyNumberFormat="1" applyFont="1" applyFill="1" applyBorder="1"/>
    <xf numFmtId="0" fontId="51" fillId="0" borderId="4" xfId="55" applyFont="1" applyFill="1" applyBorder="1" applyAlignment="1">
      <alignment horizontal="center" wrapText="1"/>
    </xf>
    <xf numFmtId="0" fontId="4" fillId="0" borderId="4" xfId="55" applyFont="1" applyBorder="1" applyAlignment="1">
      <alignment horizontal="center" wrapText="1"/>
    </xf>
    <xf numFmtId="0" fontId="4" fillId="0" borderId="12" xfId="55" applyFont="1" applyBorder="1" applyAlignment="1">
      <alignment horizontal="center" wrapText="1"/>
    </xf>
    <xf numFmtId="167" fontId="11" fillId="0" borderId="0" xfId="60" applyNumberFormat="1" applyFont="1" applyBorder="1" applyAlignment="1"/>
    <xf numFmtId="0" fontId="65" fillId="0" borderId="0" xfId="53" applyFont="1" applyAlignment="1">
      <alignment horizontal="center"/>
    </xf>
    <xf numFmtId="0" fontId="65" fillId="0" borderId="0" xfId="53" applyFont="1" applyAlignment="1">
      <alignment horizontal="left"/>
    </xf>
    <xf numFmtId="0" fontId="65" fillId="0" borderId="0" xfId="53" applyFont="1"/>
    <xf numFmtId="0" fontId="65" fillId="0" borderId="0" xfId="53" applyFont="1" applyAlignment="1">
      <alignment horizontal="center" wrapText="1"/>
    </xf>
    <xf numFmtId="0" fontId="76" fillId="0" borderId="0" xfId="53" applyNumberFormat="1" applyFont="1" applyFill="1"/>
    <xf numFmtId="0" fontId="77" fillId="0" borderId="0" xfId="53" applyFont="1" applyFill="1"/>
    <xf numFmtId="0" fontId="78" fillId="0" borderId="0" xfId="53" applyFont="1" applyAlignment="1">
      <alignment horizontal="center"/>
    </xf>
    <xf numFmtId="0" fontId="65" fillId="0" borderId="0" xfId="53" applyFont="1" applyBorder="1" applyAlignment="1"/>
    <xf numFmtId="0" fontId="65" fillId="0" borderId="0" xfId="0" applyNumberFormat="1" applyFont="1" applyBorder="1" applyAlignment="1">
      <alignment horizontal="center" wrapText="1"/>
    </xf>
    <xf numFmtId="0" fontId="65" fillId="0" borderId="0" xfId="63" applyFont="1" applyFill="1" applyBorder="1" applyAlignment="1">
      <alignment horizontal="center" wrapText="1"/>
    </xf>
    <xf numFmtId="0" fontId="65" fillId="0" borderId="42" xfId="0" applyNumberFormat="1" applyFont="1" applyBorder="1" applyAlignment="1">
      <alignment horizontal="center" wrapText="1"/>
    </xf>
    <xf numFmtId="0" fontId="65" fillId="0" borderId="0" xfId="53" applyFont="1" applyBorder="1" applyAlignment="1">
      <alignment horizontal="left" wrapText="1"/>
    </xf>
    <xf numFmtId="0" fontId="65" fillId="0" borderId="0" xfId="0" applyNumberFormat="1" applyFont="1" applyFill="1" applyBorder="1" applyAlignment="1">
      <alignment horizontal="center" wrapText="1"/>
    </xf>
    <xf numFmtId="0" fontId="65" fillId="0" borderId="18" xfId="53" applyFont="1" applyBorder="1" applyAlignment="1">
      <alignment horizontal="center" wrapText="1"/>
    </xf>
    <xf numFmtId="0" fontId="65" fillId="0" borderId="2" xfId="53" applyFont="1" applyBorder="1" applyAlignment="1">
      <alignment horizontal="center" wrapText="1"/>
    </xf>
    <xf numFmtId="0" fontId="65" fillId="0" borderId="19" xfId="53" applyFont="1" applyBorder="1" applyAlignment="1">
      <alignment horizontal="center" wrapText="1"/>
    </xf>
    <xf numFmtId="0" fontId="65" fillId="0" borderId="0" xfId="53" applyFont="1" applyBorder="1" applyAlignment="1">
      <alignment horizontal="left"/>
    </xf>
    <xf numFmtId="0" fontId="65" fillId="0" borderId="0" xfId="0" applyNumberFormat="1" applyFont="1" applyFill="1" applyBorder="1"/>
    <xf numFmtId="0" fontId="65" fillId="0" borderId="20" xfId="53" applyFont="1" applyBorder="1"/>
    <xf numFmtId="0" fontId="65" fillId="0" borderId="0" xfId="53" applyFont="1" applyBorder="1"/>
    <xf numFmtId="0" fontId="65" fillId="0" borderId="21" xfId="53" applyFont="1" applyBorder="1" applyAlignment="1">
      <alignment horizontal="center"/>
    </xf>
    <xf numFmtId="0" fontId="65" fillId="0" borderId="21" xfId="53" applyFont="1" applyBorder="1"/>
    <xf numFmtId="0" fontId="65" fillId="13" borderId="0" xfId="0" applyNumberFormat="1" applyFont="1" applyFill="1" applyBorder="1" applyAlignment="1"/>
    <xf numFmtId="0" fontId="65" fillId="13" borderId="0" xfId="0" applyNumberFormat="1" applyFont="1" applyFill="1" applyBorder="1" applyAlignment="1">
      <alignment horizontal="center"/>
    </xf>
    <xf numFmtId="173" fontId="65" fillId="13" borderId="0" xfId="32" applyNumberFormat="1" applyFont="1" applyFill="1" applyBorder="1" applyAlignment="1">
      <alignment horizontal="center"/>
    </xf>
    <xf numFmtId="173" fontId="65" fillId="13" borderId="20" xfId="32" applyNumberFormat="1" applyFont="1" applyFill="1" applyBorder="1"/>
    <xf numFmtId="173" fontId="65" fillId="13" borderId="0" xfId="32" applyNumberFormat="1" applyFont="1" applyFill="1" applyBorder="1"/>
    <xf numFmtId="173" fontId="65" fillId="0" borderId="21" xfId="32" applyNumberFormat="1" applyFont="1" applyFill="1" applyBorder="1"/>
    <xf numFmtId="43" fontId="65" fillId="13" borderId="0" xfId="32" applyFont="1" applyFill="1" applyBorder="1" applyAlignment="1">
      <alignment horizontal="center"/>
    </xf>
    <xf numFmtId="173" fontId="65" fillId="0" borderId="21" xfId="32" applyNumberFormat="1" applyFont="1" applyBorder="1"/>
    <xf numFmtId="10" fontId="65" fillId="13" borderId="0" xfId="32" applyNumberFormat="1" applyFont="1" applyFill="1" applyBorder="1" applyAlignment="1">
      <alignment horizontal="center"/>
    </xf>
    <xf numFmtId="173" fontId="65" fillId="13" borderId="20" xfId="32" applyNumberFormat="1" applyFont="1" applyFill="1" applyBorder="1" applyAlignment="1">
      <alignment horizontal="center"/>
    </xf>
    <xf numFmtId="43" fontId="65" fillId="13" borderId="0" xfId="32" applyFont="1" applyFill="1" applyBorder="1" applyAlignment="1">
      <alignment horizontal="left"/>
    </xf>
    <xf numFmtId="43" fontId="65" fillId="13" borderId="20" xfId="32" applyFont="1" applyFill="1" applyBorder="1" applyAlignment="1">
      <alignment horizontal="center"/>
    </xf>
    <xf numFmtId="0" fontId="78" fillId="0" borderId="0" xfId="53" applyFont="1" applyBorder="1" applyAlignment="1"/>
    <xf numFmtId="173" fontId="65" fillId="0" borderId="22" xfId="53" applyNumberFormat="1" applyFont="1" applyBorder="1"/>
    <xf numFmtId="173" fontId="65" fillId="0" borderId="6" xfId="53" applyNumberFormat="1" applyFont="1" applyBorder="1"/>
    <xf numFmtId="173" fontId="65" fillId="0" borderId="23" xfId="53" applyNumberFormat="1" applyFont="1" applyBorder="1"/>
    <xf numFmtId="173" fontId="65" fillId="0" borderId="21" xfId="53" applyNumberFormat="1" applyFont="1" applyBorder="1"/>
    <xf numFmtId="0" fontId="65" fillId="0" borderId="7" xfId="53" applyFont="1" applyBorder="1" applyAlignment="1">
      <alignment horizontal="center" wrapText="1"/>
    </xf>
    <xf numFmtId="0" fontId="42" fillId="0" borderId="0" xfId="53" applyFont="1" applyAlignment="1"/>
    <xf numFmtId="173" fontId="4" fillId="0" borderId="0" xfId="53" applyNumberFormat="1"/>
    <xf numFmtId="172" fontId="68" fillId="0" borderId="0" xfId="0" applyFont="1" applyAlignment="1">
      <alignment vertical="center"/>
    </xf>
    <xf numFmtId="43" fontId="65" fillId="0" borderId="0" xfId="32" applyFont="1" applyFill="1" applyBorder="1" applyAlignment="1">
      <alignment horizontal="center"/>
    </xf>
    <xf numFmtId="0" fontId="4" fillId="0" borderId="0" xfId="55" applyFont="1" applyFill="1" applyBorder="1" applyAlignment="1">
      <alignment horizontal="center" wrapText="1"/>
    </xf>
    <xf numFmtId="0" fontId="4" fillId="0" borderId="9" xfId="55" applyFont="1" applyFill="1" applyBorder="1" applyAlignment="1">
      <alignment horizontal="center" wrapText="1"/>
    </xf>
    <xf numFmtId="0" fontId="51" fillId="7" borderId="15" xfId="55" applyFont="1" applyFill="1" applyBorder="1" applyAlignment="1">
      <alignment horizontal="center"/>
    </xf>
    <xf numFmtId="0" fontId="51" fillId="7" borderId="15" xfId="55" applyFont="1" applyFill="1" applyBorder="1" applyAlignment="1">
      <alignment horizontal="center" wrapText="1"/>
    </xf>
    <xf numFmtId="0" fontId="52" fillId="7" borderId="14" xfId="55" applyFont="1" applyFill="1" applyBorder="1" applyAlignment="1">
      <alignment horizontal="center" wrapText="1"/>
    </xf>
    <xf numFmtId="0" fontId="4" fillId="0" borderId="4" xfId="55" applyFont="1" applyFill="1" applyBorder="1" applyAlignment="1">
      <alignment horizontal="center" wrapText="1"/>
    </xf>
    <xf numFmtId="0" fontId="4" fillId="0" borderId="12" xfId="55" applyFont="1" applyFill="1" applyBorder="1" applyAlignment="1">
      <alignment horizontal="center" wrapText="1"/>
    </xf>
    <xf numFmtId="173" fontId="11" fillId="0" borderId="0" xfId="35" applyNumberFormat="1" applyFont="1" applyFill="1" applyBorder="1" applyAlignment="1"/>
    <xf numFmtId="173" fontId="53" fillId="13" borderId="0" xfId="32" applyNumberFormat="1" applyFont="1" applyFill="1" applyBorder="1" applyAlignment="1">
      <alignment horizontal="center"/>
    </xf>
    <xf numFmtId="173" fontId="4" fillId="0" borderId="4" xfId="35" applyNumberFormat="1" applyFont="1" applyBorder="1"/>
    <xf numFmtId="0" fontId="48" fillId="0" borderId="4" xfId="55" applyFont="1" applyBorder="1" applyAlignment="1"/>
    <xf numFmtId="0" fontId="48" fillId="0" borderId="0" xfId="55" applyFont="1" applyFill="1" applyBorder="1" applyAlignment="1">
      <alignment horizontal="center"/>
    </xf>
    <xf numFmtId="0" fontId="4" fillId="13" borderId="7" xfId="55" applyFont="1" applyFill="1" applyBorder="1"/>
    <xf numFmtId="173" fontId="4" fillId="13" borderId="46" xfId="35" applyNumberFormat="1" applyFont="1" applyFill="1" applyBorder="1"/>
    <xf numFmtId="173" fontId="29" fillId="13" borderId="46" xfId="35" applyNumberFormat="1" applyFont="1" applyFill="1" applyBorder="1" applyAlignment="1"/>
    <xf numFmtId="0" fontId="0" fillId="0" borderId="0" xfId="60" applyFont="1" applyFill="1" applyAlignment="1">
      <alignment horizontal="center"/>
    </xf>
    <xf numFmtId="0" fontId="4" fillId="0" borderId="15" xfId="55" applyFont="1" applyFill="1" applyBorder="1" applyAlignment="1">
      <alignment horizontal="right"/>
    </xf>
    <xf numFmtId="173" fontId="4" fillId="0" borderId="16" xfId="0" applyNumberFormat="1" applyFont="1" applyFill="1" applyBorder="1" applyAlignment="1" applyProtection="1">
      <alignment horizontal="center" wrapText="1"/>
    </xf>
    <xf numFmtId="173" fontId="40" fillId="0" borderId="0" xfId="32" applyNumberFormat="1" applyFont="1" applyFill="1" applyAlignment="1" applyProtection="1">
      <alignment horizontal="center"/>
      <protection locked="0"/>
    </xf>
    <xf numFmtId="0" fontId="65" fillId="0" borderId="0" xfId="53" applyFont="1" applyFill="1" applyAlignment="1">
      <alignment horizontal="center"/>
    </xf>
    <xf numFmtId="0" fontId="65" fillId="0" borderId="0" xfId="53" applyFont="1" applyFill="1" applyAlignment="1">
      <alignment horizontal="left"/>
    </xf>
    <xf numFmtId="43" fontId="68" fillId="0" borderId="0" xfId="32" applyFont="1" applyFill="1" applyProtection="1">
      <protection locked="0"/>
    </xf>
    <xf numFmtId="43" fontId="11" fillId="0" borderId="0" xfId="32" applyFont="1" applyBorder="1" applyAlignment="1"/>
    <xf numFmtId="0" fontId="79" fillId="0" borderId="0" xfId="60" applyNumberFormat="1" applyFont="1" applyFill="1" applyProtection="1">
      <protection locked="0"/>
    </xf>
    <xf numFmtId="0" fontId="80" fillId="0" borderId="0" xfId="60" applyNumberFormat="1" applyFont="1" applyFill="1" applyAlignment="1" applyProtection="1">
      <alignment horizontal="center"/>
      <protection locked="0"/>
    </xf>
    <xf numFmtId="9" fontId="11" fillId="13" borderId="0" xfId="64" applyFont="1" applyFill="1" applyAlignment="1"/>
    <xf numFmtId="9" fontId="11" fillId="0" borderId="0" xfId="64" applyFont="1" applyAlignment="1"/>
    <xf numFmtId="177" fontId="65" fillId="13" borderId="0" xfId="32" applyNumberFormat="1" applyFont="1" applyFill="1" applyBorder="1" applyAlignment="1">
      <alignment horizontal="center"/>
    </xf>
    <xf numFmtId="177" fontId="40" fillId="0" borderId="0" xfId="32" applyNumberFormat="1" applyFont="1" applyFill="1"/>
    <xf numFmtId="177" fontId="40" fillId="0" borderId="0" xfId="32" applyNumberFormat="1" applyFont="1"/>
    <xf numFmtId="177" fontId="65" fillId="0" borderId="0" xfId="32" applyNumberFormat="1" applyFont="1" applyFill="1" applyBorder="1" applyAlignment="1">
      <alignment horizontal="center"/>
    </xf>
    <xf numFmtId="173" fontId="4" fillId="0" borderId="0" xfId="32" applyNumberFormat="1"/>
    <xf numFmtId="0" fontId="65" fillId="13" borderId="44" xfId="53" applyFont="1" applyFill="1" applyBorder="1" applyAlignment="1"/>
    <xf numFmtId="0" fontId="65" fillId="13" borderId="29" xfId="53" applyFont="1" applyFill="1" applyBorder="1" applyAlignment="1"/>
    <xf numFmtId="0" fontId="65" fillId="13" borderId="45" xfId="53" applyFont="1" applyFill="1" applyBorder="1" applyAlignment="1"/>
    <xf numFmtId="172" fontId="48" fillId="0" borderId="0" xfId="0" applyFont="1" applyAlignment="1"/>
    <xf numFmtId="0" fontId="48" fillId="0" borderId="0" xfId="0" applyNumberFormat="1" applyFont="1"/>
    <xf numFmtId="172" fontId="0" fillId="0" borderId="0" xfId="0" applyFill="1" applyAlignment="1">
      <alignment horizontal="center"/>
    </xf>
    <xf numFmtId="172" fontId="39" fillId="0" borderId="0" xfId="0" applyFont="1" applyFill="1" applyAlignment="1">
      <alignment horizontal="center"/>
    </xf>
    <xf numFmtId="172" fontId="0" fillId="0" borderId="0" xfId="0" applyFont="1" applyAlignment="1"/>
    <xf numFmtId="172" fontId="0" fillId="0" borderId="0" xfId="0" applyFont="1" applyFill="1"/>
    <xf numFmtId="10" fontId="4" fillId="0" borderId="0" xfId="64" applyNumberFormat="1" applyFont="1" applyFill="1" applyBorder="1" applyAlignment="1">
      <alignment horizontal="center"/>
    </xf>
    <xf numFmtId="43" fontId="40" fillId="0" borderId="0" xfId="0" applyNumberFormat="1" applyFont="1"/>
    <xf numFmtId="179" fontId="40" fillId="0" borderId="0" xfId="32" applyNumberFormat="1" applyFont="1" applyAlignment="1"/>
    <xf numFmtId="179" fontId="40" fillId="0" borderId="4" xfId="32" applyNumberFormat="1" applyFont="1" applyBorder="1" applyAlignment="1"/>
    <xf numFmtId="10" fontId="11" fillId="0" borderId="0" xfId="64" applyNumberFormat="1" applyFont="1" applyFill="1" applyAlignment="1"/>
    <xf numFmtId="10" fontId="0" fillId="0" borderId="0" xfId="0" applyNumberFormat="1"/>
    <xf numFmtId="10" fontId="11" fillId="0" borderId="0" xfId="53" applyNumberFormat="1" applyFont="1"/>
    <xf numFmtId="10" fontId="4" fillId="0" borderId="0" xfId="55" applyNumberFormat="1"/>
    <xf numFmtId="10" fontId="4" fillId="0" borderId="0" xfId="53" applyNumberFormat="1"/>
    <xf numFmtId="10" fontId="4" fillId="0" borderId="0" xfId="55" applyNumberFormat="1" applyFont="1"/>
    <xf numFmtId="172" fontId="67" fillId="0" borderId="0" xfId="0" applyFont="1" applyAlignment="1"/>
    <xf numFmtId="172" fontId="3" fillId="0" borderId="0" xfId="0" applyFont="1" applyAlignment="1">
      <alignment horizontal="center"/>
    </xf>
    <xf numFmtId="172" fontId="68" fillId="0" borderId="0" xfId="0" applyFont="1" applyAlignment="1"/>
    <xf numFmtId="0" fontId="68" fillId="0" borderId="0" xfId="60" applyFont="1" applyAlignment="1"/>
    <xf numFmtId="43" fontId="0" fillId="0" borderId="0" xfId="32" applyFont="1" applyFill="1" applyAlignment="1">
      <alignment horizontal="right"/>
    </xf>
    <xf numFmtId="10" fontId="40" fillId="0" borderId="0" xfId="32" applyNumberFormat="1" applyFont="1" applyFill="1" applyAlignment="1"/>
    <xf numFmtId="0" fontId="70" fillId="7" borderId="15" xfId="55" applyFont="1" applyFill="1" applyBorder="1" applyAlignment="1">
      <alignment horizontal="center" wrapText="1"/>
    </xf>
    <xf numFmtId="2" fontId="0" fillId="0" borderId="0" xfId="0" applyNumberFormat="1" applyFont="1" applyFill="1"/>
    <xf numFmtId="49" fontId="0" fillId="0" borderId="0" xfId="32" applyNumberFormat="1" applyFont="1" applyFill="1"/>
    <xf numFmtId="49" fontId="0" fillId="0" borderId="0" xfId="0" applyNumberFormat="1" applyFont="1" applyFill="1"/>
    <xf numFmtId="0" fontId="11" fillId="0" borderId="0" xfId="60" applyNumberFormat="1" applyFont="1" applyAlignment="1">
      <alignment horizontal="right"/>
    </xf>
    <xf numFmtId="173" fontId="0" fillId="0" borderId="0" xfId="32" applyNumberFormat="1" applyFont="1" applyAlignment="1">
      <alignment horizontal="center"/>
    </xf>
    <xf numFmtId="173" fontId="48" fillId="0" borderId="0" xfId="32" applyNumberFormat="1" applyFont="1" applyAlignment="1">
      <alignment horizontal="center"/>
    </xf>
    <xf numFmtId="172" fontId="65" fillId="0" borderId="0" xfId="0" applyFont="1"/>
    <xf numFmtId="172" fontId="65" fillId="0" borderId="0" xfId="0" applyFont="1" applyFill="1"/>
    <xf numFmtId="172" fontId="65" fillId="0" borderId="23" xfId="0" applyFont="1" applyFill="1" applyBorder="1"/>
    <xf numFmtId="172" fontId="65" fillId="0" borderId="6" xfId="0" applyFont="1" applyFill="1" applyBorder="1"/>
    <xf numFmtId="174" fontId="65" fillId="0" borderId="6" xfId="41" applyNumberFormat="1" applyFont="1" applyFill="1" applyBorder="1"/>
    <xf numFmtId="172" fontId="65" fillId="0" borderId="6" xfId="0" applyFont="1" applyFill="1" applyBorder="1" applyProtection="1">
      <protection locked="0"/>
    </xf>
    <xf numFmtId="172" fontId="65" fillId="0" borderId="22" xfId="0" applyFont="1" applyFill="1" applyBorder="1" applyProtection="1">
      <protection locked="0"/>
    </xf>
    <xf numFmtId="172" fontId="65" fillId="0" borderId="21" xfId="0" applyFont="1" applyFill="1" applyBorder="1"/>
    <xf numFmtId="172" fontId="65" fillId="0" borderId="0" xfId="0" applyFont="1" applyFill="1" applyBorder="1"/>
    <xf numFmtId="174" fontId="65" fillId="0" borderId="0" xfId="41" applyNumberFormat="1" applyFont="1" applyFill="1" applyBorder="1"/>
    <xf numFmtId="172" fontId="65" fillId="0" borderId="0" xfId="0" applyFont="1" applyFill="1" applyBorder="1" applyProtection="1">
      <protection locked="0"/>
    </xf>
    <xf numFmtId="172" fontId="65" fillId="0" borderId="20" xfId="0" applyFont="1" applyFill="1" applyBorder="1" applyProtection="1">
      <protection locked="0"/>
    </xf>
    <xf numFmtId="172" fontId="65" fillId="0" borderId="20" xfId="0" applyFont="1" applyFill="1" applyBorder="1"/>
    <xf numFmtId="173" fontId="65" fillId="0" borderId="21" xfId="32" applyNumberFormat="1" applyFont="1" applyFill="1" applyBorder="1" applyProtection="1">
      <protection locked="0"/>
    </xf>
    <xf numFmtId="173" fontId="65" fillId="0" borderId="0" xfId="32" applyNumberFormat="1" applyFont="1" applyFill="1" applyBorder="1" applyProtection="1">
      <protection locked="0"/>
    </xf>
    <xf numFmtId="178" fontId="65" fillId="0" borderId="0" xfId="0" applyNumberFormat="1" applyFont="1" applyFill="1" applyBorder="1" applyProtection="1">
      <protection locked="0"/>
    </xf>
    <xf numFmtId="173" fontId="65" fillId="0" borderId="0" xfId="0" applyNumberFormat="1" applyFont="1" applyFill="1" applyBorder="1" applyProtection="1">
      <protection locked="0"/>
    </xf>
    <xf numFmtId="173" fontId="65" fillId="0" borderId="6" xfId="32" applyNumberFormat="1" applyFont="1" applyFill="1" applyBorder="1" applyProtection="1">
      <protection locked="0"/>
    </xf>
    <xf numFmtId="173" fontId="78" fillId="0" borderId="0" xfId="0" applyNumberFormat="1" applyFont="1" applyFill="1" applyBorder="1" applyProtection="1">
      <protection locked="0"/>
    </xf>
    <xf numFmtId="173" fontId="78" fillId="0" borderId="0" xfId="32" applyNumberFormat="1" applyFont="1" applyFill="1" applyBorder="1" applyAlignment="1" applyProtection="1">
      <alignment horizontal="center"/>
      <protection locked="0"/>
    </xf>
    <xf numFmtId="172" fontId="83" fillId="0" borderId="0" xfId="0" applyFont="1" applyFill="1" applyBorder="1" applyProtection="1">
      <protection locked="0"/>
    </xf>
    <xf numFmtId="172" fontId="83" fillId="0" borderId="20" xfId="0" applyFont="1" applyFill="1" applyBorder="1" applyProtection="1">
      <protection locked="0"/>
    </xf>
    <xf numFmtId="173" fontId="78" fillId="0" borderId="21" xfId="32" applyNumberFormat="1" applyFont="1" applyFill="1" applyBorder="1" applyProtection="1">
      <protection locked="0"/>
    </xf>
    <xf numFmtId="4" fontId="65" fillId="0" borderId="0" xfId="0" applyNumberFormat="1" applyFont="1" applyFill="1" applyBorder="1" applyAlignment="1" applyProtection="1">
      <alignment horizontal="center"/>
      <protection locked="0"/>
    </xf>
    <xf numFmtId="4" fontId="65" fillId="0" borderId="0" xfId="0" applyNumberFormat="1" applyFont="1" applyFill="1" applyBorder="1" applyAlignment="1">
      <alignment horizontal="center"/>
    </xf>
    <xf numFmtId="172" fontId="65" fillId="0" borderId="21" xfId="0" applyFont="1" applyFill="1" applyBorder="1" applyAlignment="1" applyProtection="1">
      <alignment horizontal="center"/>
      <protection locked="0"/>
    </xf>
    <xf numFmtId="172" fontId="65" fillId="0" borderId="0" xfId="0" applyFont="1" applyFill="1" applyBorder="1" applyAlignment="1" applyProtection="1">
      <alignment horizontal="center"/>
      <protection locked="0"/>
    </xf>
    <xf numFmtId="172" fontId="78" fillId="0" borderId="0" xfId="0" applyFont="1" applyFill="1" applyBorder="1" applyAlignment="1" applyProtection="1">
      <alignment horizontal="center"/>
      <protection locked="0"/>
    </xf>
    <xf numFmtId="172" fontId="83" fillId="0" borderId="0" xfId="0" applyFont="1" applyFill="1" applyBorder="1" applyAlignment="1" applyProtection="1">
      <alignment horizontal="center"/>
      <protection locked="0"/>
    </xf>
    <xf numFmtId="172" fontId="83" fillId="0" borderId="20" xfId="0" applyFont="1" applyFill="1" applyBorder="1" applyAlignment="1" applyProtection="1">
      <alignment horizontal="left"/>
      <protection locked="0"/>
    </xf>
    <xf numFmtId="0" fontId="78" fillId="0" borderId="20" xfId="0" applyNumberFormat="1" applyFont="1" applyFill="1" applyBorder="1" applyAlignment="1" applyProtection="1">
      <alignment horizontal="left"/>
      <protection locked="0"/>
    </xf>
    <xf numFmtId="172" fontId="65" fillId="0" borderId="19" xfId="0" applyFont="1" applyFill="1" applyBorder="1" applyAlignment="1" applyProtection="1">
      <alignment horizontal="center"/>
      <protection locked="0"/>
    </xf>
    <xf numFmtId="172" fontId="65" fillId="0" borderId="2" xfId="0" applyFont="1" applyFill="1" applyBorder="1" applyAlignment="1" applyProtection="1">
      <alignment horizontal="center"/>
      <protection locked="0"/>
    </xf>
    <xf numFmtId="172" fontId="78" fillId="0" borderId="2" xfId="0" applyFont="1" applyFill="1" applyBorder="1" applyAlignment="1" applyProtection="1">
      <alignment horizontal="center"/>
      <protection locked="0"/>
    </xf>
    <xf numFmtId="172" fontId="65" fillId="0" borderId="2" xfId="0" applyFont="1" applyFill="1" applyBorder="1" applyProtection="1">
      <protection locked="0"/>
    </xf>
    <xf numFmtId="172" fontId="83" fillId="0" borderId="2" xfId="0" applyFont="1" applyFill="1" applyBorder="1" applyAlignment="1" applyProtection="1">
      <alignment horizontal="center"/>
      <protection locked="0"/>
    </xf>
    <xf numFmtId="172" fontId="83" fillId="0" borderId="18" xfId="0" applyFont="1" applyFill="1" applyBorder="1" applyAlignment="1" applyProtection="1">
      <alignment horizontal="left"/>
      <protection locked="0"/>
    </xf>
    <xf numFmtId="172" fontId="65" fillId="0" borderId="0" xfId="0" applyFont="1" applyBorder="1"/>
    <xf numFmtId="174" fontId="65" fillId="0" borderId="0" xfId="41" applyNumberFormat="1" applyFont="1" applyBorder="1"/>
    <xf numFmtId="178" fontId="65" fillId="0" borderId="0" xfId="0" applyNumberFormat="1" applyFont="1" applyBorder="1"/>
    <xf numFmtId="172" fontId="65" fillId="0" borderId="0" xfId="0" applyFont="1" applyBorder="1" applyProtection="1">
      <protection locked="0"/>
    </xf>
    <xf numFmtId="173" fontId="65" fillId="0" borderId="0" xfId="0" applyNumberFormat="1" applyFont="1"/>
    <xf numFmtId="173" fontId="65" fillId="0" borderId="0" xfId="0" applyNumberFormat="1" applyFont="1" applyFill="1" applyProtection="1">
      <protection locked="0"/>
    </xf>
    <xf numFmtId="172" fontId="65" fillId="0" borderId="0" xfId="0" applyFont="1" applyFill="1" applyProtection="1">
      <protection locked="0"/>
    </xf>
    <xf numFmtId="172" fontId="65" fillId="0" borderId="0" xfId="0" applyFont="1" applyFill="1" applyAlignment="1" applyProtection="1">
      <alignment horizontal="center"/>
      <protection locked="0"/>
    </xf>
    <xf numFmtId="173" fontId="65" fillId="0" borderId="0" xfId="0" applyNumberFormat="1" applyFont="1" applyFill="1" applyAlignment="1" applyProtection="1">
      <alignment horizontal="center"/>
      <protection locked="0"/>
    </xf>
    <xf numFmtId="178" fontId="65" fillId="0" borderId="0" xfId="64" applyNumberFormat="1" applyFont="1" applyFill="1" applyProtection="1">
      <protection locked="0"/>
    </xf>
    <xf numFmtId="0" fontId="78" fillId="0" borderId="0" xfId="0" applyNumberFormat="1" applyFont="1" applyFill="1" applyAlignment="1" applyProtection="1">
      <alignment horizontal="left"/>
      <protection locked="0"/>
    </xf>
    <xf numFmtId="173" fontId="78" fillId="0" borderId="0" xfId="0" applyNumberFormat="1" applyFont="1" applyFill="1" applyAlignment="1" applyProtection="1">
      <alignment horizontal="center"/>
      <protection locked="0"/>
    </xf>
    <xf numFmtId="173" fontId="78" fillId="0" borderId="0" xfId="0" applyNumberFormat="1" applyFont="1" applyFill="1" applyAlignment="1" applyProtection="1">
      <alignment horizontal="center" wrapText="1"/>
      <protection locked="0"/>
    </xf>
    <xf numFmtId="172" fontId="78" fillId="0" borderId="0" xfId="0" applyFont="1" applyFill="1" applyAlignment="1" applyProtection="1">
      <alignment horizontal="center"/>
      <protection locked="0"/>
    </xf>
    <xf numFmtId="172" fontId="78" fillId="0" borderId="0" xfId="0" applyFont="1" applyFill="1" applyAlignment="1" applyProtection="1">
      <alignment horizontal="center" wrapText="1"/>
      <protection locked="0"/>
    </xf>
    <xf numFmtId="172" fontId="65" fillId="0" borderId="12" xfId="0" applyFont="1" applyFill="1" applyBorder="1" applyProtection="1">
      <protection locked="0"/>
    </xf>
    <xf numFmtId="172" fontId="65" fillId="0" borderId="4" xfId="0" applyFont="1" applyFill="1" applyBorder="1" applyProtection="1">
      <protection locked="0"/>
    </xf>
    <xf numFmtId="173" fontId="65" fillId="0" borderId="4" xfId="0" applyNumberFormat="1" applyFont="1" applyFill="1" applyBorder="1" applyProtection="1">
      <protection locked="0"/>
    </xf>
    <xf numFmtId="172" fontId="65" fillId="0" borderId="4" xfId="0" applyFont="1" applyFill="1" applyBorder="1" applyAlignment="1" applyProtection="1">
      <alignment horizontal="center"/>
      <protection locked="0"/>
    </xf>
    <xf numFmtId="173" fontId="65" fillId="0" borderId="13" xfId="0" applyNumberFormat="1" applyFont="1" applyFill="1" applyBorder="1" applyProtection="1">
      <protection locked="0"/>
    </xf>
    <xf numFmtId="172" fontId="65" fillId="0" borderId="9" xfId="0" applyFont="1" applyFill="1" applyBorder="1" applyProtection="1">
      <protection locked="0"/>
    </xf>
    <xf numFmtId="173" fontId="65" fillId="0" borderId="10" xfId="0" applyNumberFormat="1" applyFont="1" applyFill="1" applyBorder="1" applyProtection="1">
      <protection locked="0"/>
    </xf>
    <xf numFmtId="172" fontId="65" fillId="0" borderId="0" xfId="0" applyFont="1" applyFill="1" applyBorder="1" applyAlignment="1" applyProtection="1">
      <alignment horizontal="left"/>
      <protection locked="0"/>
    </xf>
    <xf numFmtId="172" fontId="65" fillId="0" borderId="10" xfId="0" applyFont="1" applyFill="1" applyBorder="1" applyAlignment="1" applyProtection="1">
      <alignment horizontal="left"/>
      <protection locked="0"/>
    </xf>
    <xf numFmtId="172" fontId="84" fillId="0" borderId="10" xfId="0" applyFont="1" applyFill="1" applyBorder="1" applyProtection="1">
      <protection locked="0"/>
    </xf>
    <xf numFmtId="172" fontId="84" fillId="0" borderId="10" xfId="0" applyFont="1" applyBorder="1"/>
    <xf numFmtId="164" fontId="65" fillId="0" borderId="0" xfId="0" applyNumberFormat="1" applyFont="1" applyFill="1" applyBorder="1" applyProtection="1">
      <protection locked="0"/>
    </xf>
    <xf numFmtId="44" fontId="65" fillId="0" borderId="9" xfId="41" applyFont="1" applyFill="1" applyBorder="1" applyProtection="1">
      <protection locked="0"/>
    </xf>
    <xf numFmtId="44" fontId="65" fillId="0" borderId="0" xfId="0" applyNumberFormat="1" applyFont="1" applyBorder="1"/>
    <xf numFmtId="10" fontId="65" fillId="0" borderId="0" xfId="0" applyNumberFormat="1" applyFont="1" applyBorder="1" applyAlignment="1">
      <alignment horizontal="center"/>
    </xf>
    <xf numFmtId="10" fontId="65" fillId="0" borderId="0" xfId="0" applyNumberFormat="1" applyFont="1" applyFill="1" applyBorder="1" applyAlignment="1" applyProtection="1">
      <alignment horizontal="center"/>
      <protection locked="0"/>
    </xf>
    <xf numFmtId="0" fontId="65" fillId="0" borderId="10" xfId="0" applyNumberFormat="1" applyFont="1" applyFill="1" applyBorder="1" applyAlignment="1" applyProtection="1">
      <alignment horizontal="center"/>
      <protection locked="0"/>
    </xf>
    <xf numFmtId="44" fontId="65" fillId="0" borderId="11" xfId="41" applyFont="1" applyFill="1" applyBorder="1" applyProtection="1">
      <protection locked="0"/>
    </xf>
    <xf numFmtId="0" fontId="65" fillId="0" borderId="0" xfId="0" applyNumberFormat="1" applyFont="1" applyFill="1" applyBorder="1" applyAlignment="1" applyProtection="1">
      <alignment horizontal="center"/>
      <protection locked="0"/>
    </xf>
    <xf numFmtId="170" fontId="65" fillId="0" borderId="0" xfId="0" applyNumberFormat="1" applyFont="1" applyFill="1" applyBorder="1" applyAlignment="1" applyProtection="1">
      <alignment horizontal="center"/>
      <protection locked="0"/>
    </xf>
    <xf numFmtId="175" fontId="65" fillId="0" borderId="0" xfId="0" applyNumberFormat="1" applyFont="1" applyFill="1" applyBorder="1" applyProtection="1">
      <protection locked="0"/>
    </xf>
    <xf numFmtId="0" fontId="65" fillId="0" borderId="0" xfId="0" applyNumberFormat="1" applyFont="1" applyBorder="1" applyAlignment="1">
      <alignment horizontal="center"/>
    </xf>
    <xf numFmtId="172" fontId="78" fillId="0" borderId="0" xfId="0" applyFont="1" applyFill="1" applyBorder="1" applyAlignment="1" applyProtection="1">
      <alignment horizontal="center" wrapText="1"/>
      <protection locked="0"/>
    </xf>
    <xf numFmtId="172" fontId="78" fillId="0" borderId="0" xfId="0" applyFont="1" applyFill="1" applyBorder="1" applyProtection="1">
      <protection locked="0"/>
    </xf>
    <xf numFmtId="172" fontId="78" fillId="0" borderId="9" xfId="0" applyFont="1" applyFill="1" applyBorder="1" applyAlignment="1" applyProtection="1">
      <alignment horizontal="center"/>
      <protection locked="0"/>
    </xf>
    <xf numFmtId="172" fontId="78" fillId="0" borderId="0" xfId="0" applyFont="1" applyBorder="1" applyAlignment="1">
      <alignment horizontal="center"/>
    </xf>
    <xf numFmtId="172" fontId="78" fillId="0" borderId="10" xfId="0" applyFont="1" applyBorder="1" applyAlignment="1">
      <alignment horizontal="center"/>
    </xf>
    <xf numFmtId="172" fontId="85" fillId="0" borderId="0" xfId="0" applyFont="1" applyFill="1" applyAlignment="1" applyProtection="1">
      <alignment horizontal="left"/>
      <protection locked="0"/>
    </xf>
    <xf numFmtId="182" fontId="65" fillId="0" borderId="0" xfId="32" applyNumberFormat="1" applyFont="1" applyFill="1" applyBorder="1" applyProtection="1">
      <protection locked="0"/>
    </xf>
    <xf numFmtId="1" fontId="65" fillId="0" borderId="0" xfId="0" applyNumberFormat="1" applyFont="1" applyFill="1" applyBorder="1" applyProtection="1">
      <protection locked="0"/>
    </xf>
    <xf numFmtId="172" fontId="83" fillId="0" borderId="0" xfId="0" applyFont="1" applyFill="1" applyBorder="1" applyAlignment="1" applyProtection="1">
      <alignment horizontal="left"/>
      <protection locked="0"/>
    </xf>
    <xf numFmtId="0" fontId="78" fillId="0" borderId="0" xfId="0" applyNumberFormat="1" applyFont="1" applyFill="1" applyBorder="1" applyAlignment="1" applyProtection="1">
      <alignment horizontal="left"/>
      <protection locked="0"/>
    </xf>
    <xf numFmtId="173" fontId="78" fillId="0" borderId="0" xfId="32" applyNumberFormat="1" applyFont="1" applyFill="1" applyBorder="1" applyProtection="1">
      <protection locked="0"/>
    </xf>
    <xf numFmtId="172" fontId="40" fillId="0" borderId="7" xfId="0" applyFont="1" applyBorder="1" applyAlignment="1"/>
    <xf numFmtId="172" fontId="0" fillId="0" borderId="7" xfId="0" applyBorder="1" applyAlignment="1"/>
    <xf numFmtId="172" fontId="0" fillId="14" borderId="7" xfId="0" applyFill="1" applyBorder="1" applyAlignment="1"/>
    <xf numFmtId="172" fontId="65" fillId="0" borderId="0" xfId="0" applyFont="1" applyAlignment="1"/>
    <xf numFmtId="49" fontId="0" fillId="0" borderId="0" xfId="0" applyNumberFormat="1" applyAlignment="1"/>
    <xf numFmtId="43" fontId="29" fillId="13" borderId="10" xfId="32" applyFont="1" applyFill="1" applyBorder="1"/>
    <xf numFmtId="172" fontId="46" fillId="0" borderId="0" xfId="59" applyFont="1" applyFill="1" applyBorder="1" applyAlignment="1"/>
    <xf numFmtId="49" fontId="46" fillId="0" borderId="0" xfId="59" applyNumberFormat="1" applyFont="1" applyFill="1" applyBorder="1" applyAlignment="1">
      <alignment horizontal="left"/>
    </xf>
    <xf numFmtId="0" fontId="65" fillId="0" borderId="0" xfId="55" applyFont="1" applyFill="1"/>
    <xf numFmtId="0" fontId="65" fillId="0" borderId="0" xfId="55" applyFont="1" applyFill="1" applyBorder="1"/>
    <xf numFmtId="0" fontId="65" fillId="0" borderId="0" xfId="55" applyFont="1" applyFill="1" applyAlignment="1">
      <alignment horizontal="left"/>
    </xf>
    <xf numFmtId="0" fontId="78" fillId="0" borderId="0" xfId="55" applyFont="1" applyFill="1" applyBorder="1" applyAlignment="1">
      <alignment horizontal="left"/>
    </xf>
    <xf numFmtId="43" fontId="65" fillId="0" borderId="0" xfId="55" applyNumberFormat="1" applyFont="1" applyFill="1" applyBorder="1"/>
    <xf numFmtId="0" fontId="65" fillId="0" borderId="0" xfId="55" applyFont="1" applyFill="1" applyBorder="1" applyAlignment="1">
      <alignment horizontal="left"/>
    </xf>
    <xf numFmtId="0" fontId="78" fillId="0" borderId="16" xfId="55" applyFont="1" applyFill="1" applyBorder="1"/>
    <xf numFmtId="0" fontId="65" fillId="0" borderId="15" xfId="55" applyFont="1" applyFill="1" applyBorder="1"/>
    <xf numFmtId="0" fontId="65" fillId="0" borderId="14" xfId="55" applyFont="1" applyFill="1" applyBorder="1"/>
    <xf numFmtId="0" fontId="78" fillId="0" borderId="13" xfId="55" applyFont="1" applyFill="1" applyBorder="1"/>
    <xf numFmtId="0" fontId="65" fillId="0" borderId="4" xfId="55" applyFont="1" applyFill="1" applyBorder="1"/>
    <xf numFmtId="174" fontId="78" fillId="6" borderId="12" xfId="43" applyNumberFormat="1" applyFont="1" applyFill="1" applyBorder="1"/>
    <xf numFmtId="174" fontId="78" fillId="0" borderId="0" xfId="43" applyNumberFormat="1" applyFont="1" applyFill="1" applyBorder="1"/>
    <xf numFmtId="0" fontId="78" fillId="0" borderId="0" xfId="55" quotePrefix="1" applyFont="1" applyFill="1" applyBorder="1" applyAlignment="1">
      <alignment horizontal="center"/>
    </xf>
    <xf numFmtId="164" fontId="78" fillId="0" borderId="0" xfId="55" applyNumberFormat="1" applyFont="1" applyFill="1" applyBorder="1" applyAlignment="1">
      <alignment horizontal="center"/>
    </xf>
    <xf numFmtId="10" fontId="87" fillId="0" borderId="14" xfId="64" applyNumberFormat="1" applyFont="1" applyFill="1" applyBorder="1" applyAlignment="1"/>
    <xf numFmtId="178" fontId="86" fillId="0" borderId="0" xfId="64" applyNumberFormat="1" applyFont="1" applyFill="1" applyBorder="1"/>
    <xf numFmtId="10" fontId="78" fillId="0" borderId="0" xfId="55" applyNumberFormat="1" applyFont="1" applyFill="1" applyBorder="1" applyAlignment="1">
      <alignment horizontal="center"/>
    </xf>
    <xf numFmtId="0" fontId="78" fillId="0" borderId="10" xfId="55" applyFont="1" applyFill="1" applyBorder="1"/>
    <xf numFmtId="9" fontId="78" fillId="0" borderId="9" xfId="64" applyFont="1" applyFill="1" applyBorder="1"/>
    <xf numFmtId="172" fontId="65" fillId="0" borderId="0" xfId="0" applyFont="1" applyFill="1" applyAlignment="1"/>
    <xf numFmtId="10" fontId="78" fillId="0" borderId="9" xfId="66" applyNumberFormat="1" applyFont="1" applyFill="1" applyBorder="1"/>
    <xf numFmtId="9" fontId="65" fillId="0" borderId="0" xfId="55" applyNumberFormat="1" applyFont="1" applyFill="1" applyBorder="1"/>
    <xf numFmtId="0" fontId="65" fillId="0" borderId="0" xfId="55" applyFont="1" applyFill="1" applyBorder="1" applyAlignment="1">
      <alignment horizontal="center"/>
    </xf>
    <xf numFmtId="174" fontId="65" fillId="0" borderId="0" xfId="43" applyNumberFormat="1" applyFont="1" applyFill="1" applyBorder="1"/>
    <xf numFmtId="0" fontId="65" fillId="0" borderId="4" xfId="55" applyFont="1" applyFill="1" applyBorder="1" applyAlignment="1">
      <alignment horizontal="center"/>
    </xf>
    <xf numFmtId="10" fontId="78" fillId="0" borderId="12" xfId="66" applyNumberFormat="1" applyFont="1" applyFill="1" applyBorder="1"/>
    <xf numFmtId="0" fontId="78" fillId="0" borderId="0" xfId="55" applyFont="1" applyFill="1" applyBorder="1"/>
    <xf numFmtId="10" fontId="78" fillId="0" borderId="0" xfId="66" applyNumberFormat="1" applyFont="1" applyFill="1" applyBorder="1"/>
    <xf numFmtId="0" fontId="65" fillId="0" borderId="16" xfId="55" applyFont="1" applyFill="1" applyBorder="1"/>
    <xf numFmtId="174" fontId="65" fillId="0" borderId="14" xfId="43" applyNumberFormat="1" applyFont="1" applyFill="1" applyBorder="1"/>
    <xf numFmtId="174" fontId="65" fillId="0" borderId="9" xfId="43" applyNumberFormat="1" applyFont="1" applyFill="1" applyBorder="1" applyAlignment="1">
      <alignment horizontal="center"/>
    </xf>
    <xf numFmtId="0" fontId="65" fillId="13" borderId="10" xfId="55" applyFont="1" applyFill="1" applyBorder="1"/>
    <xf numFmtId="0" fontId="65" fillId="13" borderId="0" xfId="55" applyFont="1" applyFill="1" applyBorder="1"/>
    <xf numFmtId="173" fontId="65" fillId="13" borderId="0" xfId="35" applyNumberFormat="1" applyFont="1" applyFill="1" applyBorder="1" applyAlignment="1">
      <alignment horizontal="right"/>
    </xf>
    <xf numFmtId="173" fontId="65" fillId="13" borderId="9" xfId="35" applyNumberFormat="1" applyFont="1" applyFill="1" applyBorder="1" applyAlignment="1">
      <alignment horizontal="right"/>
    </xf>
    <xf numFmtId="173" fontId="65" fillId="0" borderId="0" xfId="55" applyNumberFormat="1" applyFont="1" applyFill="1" applyBorder="1"/>
    <xf numFmtId="10" fontId="65" fillId="0" borderId="0" xfId="55" applyNumberFormat="1" applyFont="1" applyFill="1" applyBorder="1"/>
    <xf numFmtId="173" fontId="86" fillId="0" borderId="0" xfId="55" applyNumberFormat="1" applyFont="1" applyFill="1" applyBorder="1"/>
    <xf numFmtId="3" fontId="65" fillId="0" borderId="0" xfId="55" applyNumberFormat="1" applyFont="1" applyFill="1" applyBorder="1"/>
    <xf numFmtId="173" fontId="65" fillId="13" borderId="0" xfId="35" applyNumberFormat="1" applyFont="1" applyFill="1" applyBorder="1"/>
    <xf numFmtId="173" fontId="65" fillId="13" borderId="9" xfId="35" applyNumberFormat="1" applyFont="1" applyFill="1" applyBorder="1"/>
    <xf numFmtId="43" fontId="65" fillId="13" borderId="0" xfId="32" applyFont="1" applyFill="1" applyBorder="1"/>
    <xf numFmtId="43" fontId="65" fillId="13" borderId="9" xfId="32" applyFont="1" applyFill="1" applyBorder="1"/>
    <xf numFmtId="0" fontId="65" fillId="0" borderId="10" xfId="55" applyFont="1" applyFill="1" applyBorder="1"/>
    <xf numFmtId="173" fontId="65" fillId="0" borderId="0" xfId="35" applyNumberFormat="1" applyFont="1" applyFill="1" applyBorder="1"/>
    <xf numFmtId="0" fontId="65" fillId="0" borderId="8" xfId="55" applyFont="1" applyFill="1" applyBorder="1"/>
    <xf numFmtId="173" fontId="78" fillId="0" borderId="47" xfId="35" applyNumberFormat="1" applyFont="1" applyFill="1" applyBorder="1"/>
    <xf numFmtId="0" fontId="65" fillId="0" borderId="13" xfId="55" applyFont="1" applyFill="1" applyBorder="1"/>
    <xf numFmtId="173" fontId="65" fillId="0" borderId="4" xfId="35" applyNumberFormat="1" applyFont="1" applyFill="1" applyBorder="1"/>
    <xf numFmtId="173" fontId="65" fillId="0" borderId="12" xfId="35" applyNumberFormat="1" applyFont="1" applyFill="1" applyBorder="1"/>
    <xf numFmtId="0" fontId="65" fillId="13" borderId="16" xfId="55" applyFont="1" applyFill="1" applyBorder="1"/>
    <xf numFmtId="173" fontId="65" fillId="13" borderId="15" xfId="35" applyNumberFormat="1" applyFont="1" applyFill="1" applyBorder="1"/>
    <xf numFmtId="0" fontId="65" fillId="13" borderId="15" xfId="55" applyFont="1" applyFill="1" applyBorder="1"/>
    <xf numFmtId="173" fontId="65" fillId="13" borderId="14" xfId="35" applyNumberFormat="1" applyFont="1" applyFill="1" applyBorder="1"/>
    <xf numFmtId="164" fontId="65" fillId="0" borderId="0" xfId="64" applyNumberFormat="1" applyFont="1" applyFill="1" applyBorder="1"/>
    <xf numFmtId="173" fontId="65" fillId="13" borderId="0" xfId="112" applyNumberFormat="1" applyFont="1" applyFill="1" applyBorder="1"/>
    <xf numFmtId="173" fontId="65" fillId="6" borderId="9" xfId="35" applyNumberFormat="1" applyFont="1" applyFill="1" applyBorder="1"/>
    <xf numFmtId="10" fontId="65" fillId="13" borderId="0" xfId="66" applyNumberFormat="1" applyFont="1" applyFill="1" applyBorder="1"/>
    <xf numFmtId="43" fontId="65" fillId="6" borderId="9" xfId="55" applyNumberFormat="1" applyFont="1" applyFill="1" applyBorder="1"/>
    <xf numFmtId="0" fontId="78" fillId="13" borderId="13" xfId="55" applyFont="1" applyFill="1" applyBorder="1"/>
    <xf numFmtId="173" fontId="65" fillId="13" borderId="4" xfId="35" applyNumberFormat="1" applyFont="1" applyFill="1" applyBorder="1"/>
    <xf numFmtId="0" fontId="65" fillId="13" borderId="4" xfId="55" applyFont="1" applyFill="1" applyBorder="1"/>
    <xf numFmtId="10" fontId="65" fillId="13" borderId="4" xfId="66" applyNumberFormat="1" applyFont="1" applyFill="1" applyBorder="1"/>
    <xf numFmtId="43" fontId="65" fillId="6" borderId="12" xfId="55" applyNumberFormat="1" applyFont="1" applyFill="1" applyBorder="1"/>
    <xf numFmtId="164" fontId="65" fillId="0" borderId="0" xfId="55" applyNumberFormat="1" applyFont="1" applyFill="1" applyBorder="1"/>
    <xf numFmtId="164" fontId="65" fillId="0" borderId="0" xfId="66" applyNumberFormat="1" applyFont="1" applyFill="1" applyBorder="1"/>
    <xf numFmtId="0" fontId="65" fillId="0" borderId="28" xfId="55" applyFont="1" applyFill="1" applyBorder="1"/>
    <xf numFmtId="0" fontId="78" fillId="0" borderId="3" xfId="55" applyFont="1" applyFill="1" applyBorder="1"/>
    <xf numFmtId="0" fontId="65" fillId="0" borderId="16" xfId="55" applyFont="1" applyFill="1" applyBorder="1" applyAlignment="1">
      <alignment horizontal="center"/>
    </xf>
    <xf numFmtId="0" fontId="65" fillId="0" borderId="15" xfId="55" applyFont="1" applyFill="1" applyBorder="1" applyAlignment="1">
      <alignment horizontal="center"/>
    </xf>
    <xf numFmtId="0" fontId="65" fillId="0" borderId="14" xfId="55" applyFont="1" applyFill="1" applyBorder="1" applyAlignment="1">
      <alignment horizontal="center"/>
    </xf>
    <xf numFmtId="0" fontId="78" fillId="0" borderId="10" xfId="55" applyFont="1" applyFill="1" applyBorder="1" applyAlignment="1">
      <alignment horizontal="center"/>
    </xf>
    <xf numFmtId="0" fontId="78" fillId="0" borderId="0" xfId="55" applyFont="1" applyFill="1" applyBorder="1" applyAlignment="1">
      <alignment horizontal="center" wrapText="1"/>
    </xf>
    <xf numFmtId="0" fontId="78" fillId="0" borderId="9" xfId="55" applyFont="1" applyFill="1" applyBorder="1" applyAlignment="1">
      <alignment horizontal="center" wrapText="1"/>
    </xf>
    <xf numFmtId="0" fontId="78" fillId="0" borderId="13" xfId="55" applyFont="1" applyFill="1" applyBorder="1" applyAlignment="1">
      <alignment horizontal="center"/>
    </xf>
    <xf numFmtId="0" fontId="65" fillId="0" borderId="4" xfId="55" applyFont="1" applyFill="1" applyBorder="1" applyAlignment="1">
      <alignment horizontal="center" wrapText="1"/>
    </xf>
    <xf numFmtId="0" fontId="65" fillId="0" borderId="12" xfId="55" applyFont="1" applyFill="1" applyBorder="1" applyAlignment="1">
      <alignment horizontal="center" wrapText="1"/>
    </xf>
    <xf numFmtId="14" fontId="88" fillId="13" borderId="10" xfId="55" applyNumberFormat="1" applyFont="1" applyFill="1" applyBorder="1" applyAlignment="1">
      <alignment horizontal="center"/>
    </xf>
    <xf numFmtId="0" fontId="65" fillId="13" borderId="0" xfId="55" applyFont="1" applyFill="1" applyBorder="1" applyAlignment="1">
      <alignment horizontal="center"/>
    </xf>
    <xf numFmtId="173" fontId="88" fillId="13" borderId="0" xfId="35" applyNumberFormat="1" applyFont="1" applyFill="1" applyBorder="1"/>
    <xf numFmtId="173" fontId="65" fillId="0" borderId="9" xfId="35" applyNumberFormat="1" applyFont="1" applyFill="1" applyBorder="1"/>
    <xf numFmtId="0" fontId="88" fillId="13" borderId="0" xfId="55" applyFont="1" applyFill="1" applyBorder="1" applyAlignment="1">
      <alignment horizontal="center"/>
    </xf>
    <xf numFmtId="173" fontId="88" fillId="0" borderId="0" xfId="35" applyNumberFormat="1" applyFont="1" applyFill="1" applyBorder="1"/>
    <xf numFmtId="43" fontId="65" fillId="0" borderId="0" xfId="35" applyNumberFormat="1" applyFont="1" applyFill="1" applyBorder="1"/>
    <xf numFmtId="43" fontId="65" fillId="0" borderId="0" xfId="32" applyFont="1" applyFill="1"/>
    <xf numFmtId="173" fontId="65" fillId="0" borderId="0" xfId="55" applyNumberFormat="1" applyFont="1" applyFill="1"/>
    <xf numFmtId="14" fontId="65" fillId="13" borderId="10" xfId="55" applyNumberFormat="1" applyFont="1" applyFill="1" applyBorder="1" applyAlignment="1">
      <alignment horizontal="center"/>
    </xf>
    <xf numFmtId="0" fontId="65" fillId="13" borderId="0" xfId="55" quotePrefix="1" applyFont="1" applyFill="1" applyBorder="1" applyAlignment="1">
      <alignment horizontal="center"/>
    </xf>
    <xf numFmtId="178" fontId="65" fillId="0" borderId="0" xfId="64" applyNumberFormat="1" applyFont="1" applyFill="1" applyBorder="1"/>
    <xf numFmtId="180" fontId="65" fillId="0" borderId="0" xfId="35" applyNumberFormat="1" applyFont="1" applyFill="1" applyBorder="1"/>
    <xf numFmtId="14" fontId="65" fillId="0" borderId="13" xfId="55" applyNumberFormat="1" applyFont="1" applyFill="1" applyBorder="1" applyAlignment="1">
      <alignment horizontal="center"/>
    </xf>
    <xf numFmtId="0" fontId="65" fillId="0" borderId="0" xfId="55" applyFont="1"/>
    <xf numFmtId="0" fontId="65" fillId="0" borderId="0" xfId="55" applyFont="1" applyAlignment="1">
      <alignment horizontal="left"/>
    </xf>
    <xf numFmtId="172" fontId="24" fillId="0" borderId="0" xfId="113" applyFont="1" applyFill="1" applyAlignment="1"/>
    <xf numFmtId="172" fontId="0" fillId="12" borderId="0" xfId="0" applyFill="1" applyAlignment="1"/>
    <xf numFmtId="174" fontId="0" fillId="0" borderId="0" xfId="41" applyNumberFormat="1" applyFont="1" applyAlignment="1"/>
    <xf numFmtId="173" fontId="0" fillId="0" borderId="0" xfId="32" applyNumberFormat="1" applyFont="1" applyAlignment="1">
      <alignment horizontal="right"/>
    </xf>
    <xf numFmtId="172" fontId="0" fillId="0" borderId="0" xfId="0" applyFill="1" applyAlignment="1"/>
    <xf numFmtId="3" fontId="11" fillId="0" borderId="0" xfId="59" applyNumberFormat="1" applyFont="1" applyFill="1" applyBorder="1" applyAlignment="1">
      <alignment horizontal="center"/>
    </xf>
    <xf numFmtId="0" fontId="40" fillId="0" borderId="4" xfId="62" applyNumberFormat="1" applyFont="1" applyFill="1" applyBorder="1" applyAlignment="1" applyProtection="1">
      <alignment horizontal="center"/>
      <protection locked="0"/>
    </xf>
    <xf numFmtId="172" fontId="69" fillId="0" borderId="0" xfId="0" applyFont="1" applyAlignment="1">
      <alignment vertical="center"/>
    </xf>
    <xf numFmtId="0" fontId="69" fillId="0" borderId="0" xfId="55" applyFont="1" applyFill="1"/>
    <xf numFmtId="0" fontId="69" fillId="0" borderId="0" xfId="55" applyFont="1"/>
    <xf numFmtId="0" fontId="69" fillId="0" borderId="0" xfId="55" applyFont="1" applyFill="1" applyAlignment="1">
      <alignment horizontal="left"/>
    </xf>
    <xf numFmtId="0" fontId="69" fillId="0" borderId="0" xfId="55" applyFont="1" applyFill="1" applyAlignment="1">
      <alignment horizontal="center" wrapText="1"/>
    </xf>
    <xf numFmtId="173" fontId="69" fillId="0" borderId="0" xfId="32" applyNumberFormat="1" applyFont="1" applyFill="1"/>
    <xf numFmtId="0" fontId="69" fillId="0" borderId="0" xfId="55" applyFont="1" applyFill="1" applyAlignment="1">
      <alignment horizontal="right"/>
    </xf>
    <xf numFmtId="173" fontId="69" fillId="0" borderId="0" xfId="35" applyNumberFormat="1" applyFont="1" applyFill="1"/>
    <xf numFmtId="172" fontId="69" fillId="0" borderId="0" xfId="0" applyFont="1" applyFill="1" applyAlignment="1">
      <alignment vertical="top" wrapText="1"/>
    </xf>
    <xf numFmtId="172" fontId="65" fillId="0" borderId="0" xfId="0" applyFont="1" applyAlignment="1">
      <alignment horizontal="left" wrapText="1"/>
    </xf>
    <xf numFmtId="172" fontId="0" fillId="0" borderId="0" xfId="0" applyBorder="1" applyAlignment="1">
      <alignment horizontal="center"/>
    </xf>
    <xf numFmtId="172" fontId="29" fillId="0" borderId="0" xfId="0" applyFont="1" applyFill="1" applyBorder="1" applyAlignment="1">
      <alignment horizontal="center"/>
    </xf>
    <xf numFmtId="172" fontId="29" fillId="0" borderId="6" xfId="0" applyFont="1" applyBorder="1" applyAlignment="1">
      <alignment horizontal="center"/>
    </xf>
    <xf numFmtId="172" fontId="29" fillId="0" borderId="6" xfId="0" applyFont="1" applyFill="1" applyBorder="1" applyAlignment="1">
      <alignment horizontal="center"/>
    </xf>
    <xf numFmtId="172" fontId="0" fillId="0" borderId="0" xfId="0" applyBorder="1"/>
    <xf numFmtId="172" fontId="0" fillId="0" borderId="0" xfId="0" applyFill="1" applyBorder="1" applyAlignment="1">
      <alignment horizontal="center"/>
    </xf>
    <xf numFmtId="172" fontId="0" fillId="0" borderId="0" xfId="0" applyFill="1" applyBorder="1"/>
    <xf numFmtId="172" fontId="0" fillId="0" borderId="0" xfId="0" applyFill="1" applyBorder="1" applyAlignment="1">
      <alignment horizontal="left" indent="1"/>
    </xf>
    <xf numFmtId="173" fontId="4" fillId="6" borderId="48" xfId="32" applyNumberFormat="1" applyFill="1" applyBorder="1"/>
    <xf numFmtId="173" fontId="4" fillId="0" borderId="9" xfId="32" applyNumberFormat="1" applyBorder="1"/>
    <xf numFmtId="173" fontId="4" fillId="6" borderId="49" xfId="32" applyNumberFormat="1" applyFill="1" applyBorder="1"/>
    <xf numFmtId="173" fontId="4" fillId="0" borderId="50" xfId="32" applyNumberFormat="1" applyBorder="1"/>
    <xf numFmtId="172" fontId="0" fillId="0" borderId="0" xfId="0" applyFill="1" applyBorder="1" applyAlignment="1">
      <alignment horizontal="left" indent="2"/>
    </xf>
    <xf numFmtId="173" fontId="4" fillId="6" borderId="51" xfId="32" applyNumberFormat="1" applyFill="1" applyBorder="1"/>
    <xf numFmtId="172" fontId="0" fillId="0" borderId="0" xfId="0" applyFill="1" applyBorder="1" applyAlignment="1">
      <alignment horizontal="left"/>
    </xf>
    <xf numFmtId="172" fontId="4" fillId="0" borderId="0" xfId="0" applyFont="1" applyFill="1" applyBorder="1" applyAlignment="1">
      <alignment horizontal="center"/>
    </xf>
    <xf numFmtId="173" fontId="4" fillId="0" borderId="0" xfId="32" applyNumberFormat="1" applyBorder="1"/>
    <xf numFmtId="173" fontId="4" fillId="0" borderId="3" xfId="32" applyNumberFormat="1" applyBorder="1"/>
    <xf numFmtId="172" fontId="4" fillId="0" borderId="0" xfId="0" applyFont="1" applyFill="1" applyBorder="1"/>
    <xf numFmtId="172" fontId="4" fillId="0" borderId="0" xfId="0" applyFont="1" applyFill="1" applyBorder="1" applyAlignment="1">
      <alignment horizontal="left" wrapText="1" indent="1"/>
    </xf>
    <xf numFmtId="173" fontId="4" fillId="0" borderId="9" xfId="32" applyNumberFormat="1" applyFill="1" applyBorder="1"/>
    <xf numFmtId="172" fontId="0" fillId="0" borderId="0" xfId="0" applyFill="1" applyBorder="1" applyAlignment="1">
      <alignment horizontal="left" wrapText="1" indent="1"/>
    </xf>
    <xf numFmtId="172" fontId="4" fillId="0" borderId="0" xfId="0" applyFont="1" applyFill="1" applyBorder="1" applyAlignment="1">
      <alignment horizontal="left" wrapText="1" indent="2"/>
    </xf>
    <xf numFmtId="172" fontId="4" fillId="0" borderId="0" xfId="0" applyFont="1" applyFill="1" applyBorder="1" applyAlignment="1">
      <alignment horizontal="left" indent="1"/>
    </xf>
    <xf numFmtId="172" fontId="4" fillId="0" borderId="0" xfId="0" applyFont="1" applyBorder="1" applyAlignment="1">
      <alignment horizontal="left" indent="1"/>
    </xf>
    <xf numFmtId="172" fontId="0" fillId="0" borderId="4" xfId="0" applyBorder="1"/>
    <xf numFmtId="173" fontId="4" fillId="0" borderId="0" xfId="32" applyNumberFormat="1" applyFont="1" applyBorder="1"/>
    <xf numFmtId="173" fontId="0" fillId="0" borderId="0" xfId="32" applyNumberFormat="1" applyFont="1" applyBorder="1"/>
    <xf numFmtId="173" fontId="0" fillId="0" borderId="9" xfId="32" applyNumberFormat="1" applyFont="1" applyBorder="1"/>
    <xf numFmtId="173" fontId="0" fillId="0" borderId="0" xfId="32" applyNumberFormat="1" applyFont="1"/>
    <xf numFmtId="0" fontId="0" fillId="0" borderId="0" xfId="32" applyNumberFormat="1" applyFont="1" applyAlignment="1">
      <alignment horizontal="center"/>
    </xf>
    <xf numFmtId="0" fontId="0" fillId="0" borderId="10" xfId="32" applyNumberFormat="1" applyFont="1" applyBorder="1" applyAlignment="1">
      <alignment horizontal="center"/>
    </xf>
    <xf numFmtId="0" fontId="29" fillId="0" borderId="27" xfId="32" applyNumberFormat="1" applyFont="1" applyBorder="1" applyAlignment="1">
      <alignment horizontal="center"/>
    </xf>
    <xf numFmtId="0" fontId="0" fillId="0" borderId="13" xfId="32" applyNumberFormat="1" applyFont="1" applyBorder="1" applyAlignment="1">
      <alignment horizontal="center"/>
    </xf>
    <xf numFmtId="0" fontId="51" fillId="0" borderId="0" xfId="32" applyNumberFormat="1" applyFont="1" applyFill="1" applyBorder="1" applyAlignment="1">
      <alignment horizontal="left"/>
    </xf>
    <xf numFmtId="173" fontId="0" fillId="6" borderId="48" xfId="32" applyNumberFormat="1" applyFont="1" applyFill="1" applyBorder="1"/>
    <xf numFmtId="173" fontId="0" fillId="6" borderId="52" xfId="32" applyNumberFormat="1" applyFont="1" applyFill="1" applyBorder="1"/>
    <xf numFmtId="173" fontId="0" fillId="6" borderId="51" xfId="32" applyNumberFormat="1" applyFont="1" applyFill="1" applyBorder="1"/>
    <xf numFmtId="173" fontId="4" fillId="6" borderId="52" xfId="32" applyNumberFormat="1" applyFont="1" applyFill="1" applyBorder="1"/>
    <xf numFmtId="173" fontId="4" fillId="6" borderId="53" xfId="32" applyNumberFormat="1" applyFont="1" applyFill="1" applyBorder="1"/>
    <xf numFmtId="173" fontId="0" fillId="0" borderId="0" xfId="32" applyNumberFormat="1" applyFont="1" applyBorder="1" applyAlignment="1">
      <alignment horizontal="center"/>
    </xf>
    <xf numFmtId="173" fontId="0" fillId="0" borderId="9" xfId="32" applyNumberFormat="1" applyFont="1" applyBorder="1" applyAlignment="1">
      <alignment horizontal="center"/>
    </xf>
    <xf numFmtId="173" fontId="29" fillId="0" borderId="6" xfId="32" applyNumberFormat="1" applyFont="1" applyFill="1" applyBorder="1" applyAlignment="1">
      <alignment horizontal="center"/>
    </xf>
    <xf numFmtId="173" fontId="29" fillId="0" borderId="11" xfId="32" applyNumberFormat="1" applyFont="1" applyFill="1" applyBorder="1" applyAlignment="1">
      <alignment horizontal="center"/>
    </xf>
    <xf numFmtId="173" fontId="0" fillId="0" borderId="0" xfId="32" applyNumberFormat="1" applyFont="1" applyFill="1" applyBorder="1" applyAlignment="1">
      <alignment horizontal="center"/>
    </xf>
    <xf numFmtId="173" fontId="0" fillId="0" borderId="9" xfId="32" applyNumberFormat="1" applyFont="1" applyFill="1" applyBorder="1" applyAlignment="1">
      <alignment horizontal="center"/>
    </xf>
    <xf numFmtId="173" fontId="29" fillId="0" borderId="0" xfId="32" applyNumberFormat="1" applyFont="1" applyBorder="1"/>
    <xf numFmtId="173" fontId="29" fillId="0" borderId="9" xfId="32" applyNumberFormat="1" applyFont="1" applyBorder="1"/>
    <xf numFmtId="173" fontId="0" fillId="0" borderId="4" xfId="32" applyNumberFormat="1" applyFont="1" applyBorder="1"/>
    <xf numFmtId="173" fontId="0" fillId="0" borderId="12" xfId="32" applyNumberFormat="1" applyFont="1" applyBorder="1"/>
    <xf numFmtId="0" fontId="29" fillId="0" borderId="10" xfId="32" applyNumberFormat="1" applyFont="1" applyBorder="1" applyAlignment="1">
      <alignment horizontal="center"/>
    </xf>
    <xf numFmtId="173" fontId="51" fillId="7" borderId="0" xfId="32" applyNumberFormat="1" applyFont="1" applyFill="1" applyBorder="1" applyAlignment="1">
      <alignment horizontal="center" wrapText="1"/>
    </xf>
    <xf numFmtId="0" fontId="4" fillId="0" borderId="16" xfId="32" applyNumberFormat="1" applyFont="1" applyFill="1" applyBorder="1" applyAlignment="1">
      <alignment horizontal="center"/>
    </xf>
    <xf numFmtId="3" fontId="29" fillId="0" borderId="15" xfId="55" applyNumberFormat="1" applyFont="1" applyFill="1" applyBorder="1" applyAlignment="1">
      <alignment horizontal="left"/>
    </xf>
    <xf numFmtId="0" fontId="4" fillId="0" borderId="15" xfId="55" applyFont="1" applyFill="1" applyBorder="1"/>
    <xf numFmtId="173" fontId="4" fillId="0" borderId="15" xfId="32" applyNumberFormat="1" applyFont="1" applyFill="1" applyBorder="1"/>
    <xf numFmtId="173" fontId="4" fillId="0" borderId="15" xfId="32" applyNumberFormat="1" applyFont="1" applyFill="1" applyBorder="1" applyAlignment="1">
      <alignment horizontal="center"/>
    </xf>
    <xf numFmtId="173" fontId="4" fillId="0" borderId="15" xfId="32" applyNumberFormat="1" applyFont="1" applyBorder="1"/>
    <xf numFmtId="173" fontId="4" fillId="0" borderId="14" xfId="32" applyNumberFormat="1" applyFont="1" applyBorder="1"/>
    <xf numFmtId="172" fontId="65" fillId="13" borderId="0" xfId="0" applyFont="1" applyFill="1" applyAlignment="1"/>
    <xf numFmtId="0" fontId="65" fillId="13" borderId="10" xfId="0" applyNumberFormat="1" applyFont="1" applyFill="1" applyBorder="1" applyAlignment="1">
      <alignment horizontal="center"/>
    </xf>
    <xf numFmtId="0" fontId="65" fillId="13" borderId="10" xfId="0" applyNumberFormat="1" applyFont="1" applyFill="1" applyBorder="1" applyAlignment="1" applyProtection="1">
      <alignment horizontal="center"/>
      <protection locked="0"/>
    </xf>
    <xf numFmtId="173" fontId="0" fillId="0" borderId="0" xfId="32" applyNumberFormat="1" applyFont="1" applyFill="1" applyAlignment="1">
      <alignment horizontal="center"/>
    </xf>
    <xf numFmtId="43" fontId="0" fillId="0" borderId="0" xfId="32" applyNumberFormat="1" applyFont="1" applyFill="1" applyAlignment="1">
      <alignment horizontal="right"/>
    </xf>
    <xf numFmtId="10" fontId="65" fillId="13" borderId="0" xfId="0" applyNumberFormat="1" applyFont="1" applyFill="1" applyBorder="1" applyAlignment="1">
      <alignment horizontal="center"/>
    </xf>
    <xf numFmtId="170" fontId="65" fillId="13" borderId="0" xfId="0" applyNumberFormat="1" applyFont="1" applyFill="1" applyBorder="1" applyAlignment="1" applyProtection="1">
      <alignment horizontal="center"/>
      <protection locked="0"/>
    </xf>
    <xf numFmtId="44" fontId="65" fillId="13" borderId="0" xfId="0" applyNumberFormat="1" applyFont="1" applyFill="1" applyBorder="1" applyProtection="1">
      <protection locked="0"/>
    </xf>
    <xf numFmtId="172" fontId="65" fillId="13" borderId="0" xfId="0" applyFont="1" applyFill="1" applyBorder="1" applyProtection="1">
      <protection locked="0"/>
    </xf>
    <xf numFmtId="164" fontId="65" fillId="13" borderId="0" xfId="0" applyNumberFormat="1" applyFont="1" applyFill="1" applyBorder="1" applyProtection="1">
      <protection locked="0"/>
    </xf>
    <xf numFmtId="0" fontId="39" fillId="0" borderId="0" xfId="60" applyNumberFormat="1" applyFont="1" applyAlignment="1" applyProtection="1">
      <alignment horizontal="center" vertical="top"/>
      <protection locked="0"/>
    </xf>
    <xf numFmtId="0" fontId="4" fillId="0" borderId="0" xfId="53" applyFill="1" applyAlignment="1">
      <alignment horizontal="center"/>
    </xf>
    <xf numFmtId="0" fontId="11" fillId="0" borderId="0" xfId="55" applyFont="1" applyFill="1"/>
    <xf numFmtId="0" fontId="6" fillId="0" borderId="0" xfId="55" applyFont="1" applyAlignment="1"/>
    <xf numFmtId="0" fontId="11" fillId="0" borderId="0" xfId="55" applyFont="1"/>
    <xf numFmtId="173" fontId="11" fillId="0" borderId="0" xfId="35" applyNumberFormat="1" applyFont="1" applyAlignment="1"/>
    <xf numFmtId="0" fontId="11" fillId="0" borderId="0" xfId="55" applyFont="1" applyAlignment="1"/>
    <xf numFmtId="173" fontId="11" fillId="6" borderId="0" xfId="35" applyNumberFormat="1" applyFont="1" applyFill="1" applyAlignment="1"/>
    <xf numFmtId="173" fontId="11" fillId="0" borderId="0" xfId="35" applyNumberFormat="1" applyFont="1" applyFill="1" applyBorder="1" applyAlignment="1">
      <alignment wrapText="1"/>
    </xf>
    <xf numFmtId="0" fontId="11" fillId="0" borderId="0" xfId="55" applyFont="1" applyFill="1" applyAlignment="1">
      <alignment vertical="top"/>
    </xf>
    <xf numFmtId="0" fontId="11" fillId="0" borderId="0" xfId="55" applyFont="1" applyFill="1" applyAlignment="1"/>
    <xf numFmtId="173" fontId="11" fillId="0" borderId="0" xfId="35" applyNumberFormat="1" applyFont="1" applyFill="1" applyAlignment="1"/>
    <xf numFmtId="0" fontId="93" fillId="0" borderId="0" xfId="55" applyFont="1" applyFill="1"/>
    <xf numFmtId="0" fontId="93" fillId="0" borderId="0" xfId="55" applyFont="1"/>
    <xf numFmtId="0" fontId="94" fillId="0" borderId="0" xfId="55" applyFont="1" applyAlignment="1">
      <alignment horizontal="center"/>
    </xf>
    <xf numFmtId="173" fontId="11" fillId="0" borderId="0" xfId="35" applyNumberFormat="1" applyFont="1" applyBorder="1" applyAlignment="1"/>
    <xf numFmtId="172" fontId="11" fillId="0" borderId="6" xfId="0" applyFont="1" applyBorder="1"/>
    <xf numFmtId="172" fontId="11" fillId="0" borderId="0" xfId="0" applyFont="1"/>
    <xf numFmtId="172" fontId="11" fillId="0" borderId="0" xfId="0" applyFont="1" applyBorder="1" applyAlignment="1">
      <alignment horizontal="centerContinuous"/>
    </xf>
    <xf numFmtId="0" fontId="11" fillId="0" borderId="0" xfId="0" applyNumberFormat="1" applyFont="1" applyAlignment="1">
      <alignment horizontal="center"/>
    </xf>
    <xf numFmtId="172" fontId="95" fillId="0" borderId="0" xfId="0" applyFont="1" applyAlignment="1">
      <alignment horizontal="right"/>
    </xf>
    <xf numFmtId="169" fontId="11" fillId="0" borderId="0" xfId="0" applyNumberFormat="1" applyFont="1"/>
    <xf numFmtId="43" fontId="11" fillId="0" borderId="0" xfId="32" applyFont="1"/>
    <xf numFmtId="43" fontId="11" fillId="13" borderId="0" xfId="32" applyFont="1" applyFill="1"/>
    <xf numFmtId="43" fontId="11" fillId="0" borderId="6" xfId="32" applyFont="1" applyBorder="1"/>
    <xf numFmtId="43" fontId="11" fillId="0" borderId="29" xfId="32" applyFont="1" applyBorder="1"/>
    <xf numFmtId="41" fontId="11" fillId="0" borderId="0" xfId="0" applyNumberFormat="1" applyFont="1"/>
    <xf numFmtId="41" fontId="11" fillId="13" borderId="0" xfId="0" applyNumberFormat="1" applyFont="1" applyFill="1"/>
    <xf numFmtId="41" fontId="11" fillId="0" borderId="6" xfId="0" applyNumberFormat="1" applyFont="1" applyBorder="1"/>
    <xf numFmtId="169" fontId="6" fillId="0" borderId="0" xfId="0" applyNumberFormat="1" applyFont="1"/>
    <xf numFmtId="0" fontId="11" fillId="0" borderId="0" xfId="55" applyFont="1" applyAlignment="1">
      <alignment horizontal="center"/>
    </xf>
    <xf numFmtId="41" fontId="11" fillId="0" borderId="0" xfId="55" applyNumberFormat="1" applyFont="1"/>
    <xf numFmtId="0" fontId="11" fillId="0" borderId="0" xfId="55" applyFont="1" applyFill="1" applyAlignment="1">
      <alignment horizontal="center"/>
    </xf>
    <xf numFmtId="173" fontId="11" fillId="0" borderId="0" xfId="35" applyNumberFormat="1" applyFont="1" applyFill="1" applyAlignment="1">
      <alignment horizontal="right"/>
    </xf>
    <xf numFmtId="173" fontId="11" fillId="0" borderId="0" xfId="35" applyNumberFormat="1" applyFont="1" applyFill="1"/>
    <xf numFmtId="173" fontId="48" fillId="0" borderId="0" xfId="35" applyNumberFormat="1" applyFont="1" applyFill="1" applyAlignment="1">
      <alignment vertical="top"/>
    </xf>
    <xf numFmtId="0" fontId="48" fillId="0" borderId="0" xfId="55" applyFont="1" applyAlignment="1">
      <alignment vertical="top"/>
    </xf>
    <xf numFmtId="173" fontId="4" fillId="6" borderId="10" xfId="35" applyNumberFormat="1" applyFont="1" applyFill="1" applyBorder="1" applyAlignment="1"/>
    <xf numFmtId="173" fontId="4" fillId="6" borderId="0" xfId="35" applyNumberFormat="1" applyFont="1" applyFill="1" applyBorder="1" applyAlignment="1"/>
    <xf numFmtId="173" fontId="4" fillId="6" borderId="27" xfId="35" applyNumberFormat="1" applyFont="1" applyFill="1" applyBorder="1" applyAlignment="1"/>
    <xf numFmtId="173" fontId="4" fillId="6" borderId="6" xfId="35" applyNumberFormat="1" applyFont="1" applyFill="1" applyBorder="1" applyAlignment="1"/>
    <xf numFmtId="173" fontId="4" fillId="6" borderId="9" xfId="35" applyNumberFormat="1" applyFont="1" applyFill="1" applyBorder="1" applyAlignment="1"/>
    <xf numFmtId="173" fontId="4" fillId="6" borderId="11" xfId="35" applyNumberFormat="1" applyFont="1" applyFill="1" applyBorder="1" applyAlignment="1"/>
    <xf numFmtId="173" fontId="46" fillId="0" borderId="0" xfId="55" applyNumberFormat="1" applyFont="1" applyFill="1" applyBorder="1" applyAlignment="1">
      <alignment horizontal="left"/>
    </xf>
    <xf numFmtId="164" fontId="46" fillId="0" borderId="0" xfId="66" applyNumberFormat="1" applyFont="1" applyFill="1" applyBorder="1" applyAlignment="1"/>
    <xf numFmtId="0" fontId="46" fillId="0" borderId="0" xfId="55" applyFont="1" applyFill="1" applyBorder="1" applyAlignment="1">
      <alignment horizontal="center" wrapText="1"/>
    </xf>
    <xf numFmtId="0" fontId="46" fillId="0" borderId="9" xfId="55" applyFont="1" applyFill="1" applyBorder="1" applyAlignment="1">
      <alignment horizontal="center" wrapText="1"/>
    </xf>
    <xf numFmtId="164" fontId="46" fillId="0" borderId="0" xfId="66" applyNumberFormat="1" applyFont="1" applyFill="1" applyBorder="1" applyAlignment="1">
      <alignment horizontal="left"/>
    </xf>
    <xf numFmtId="0" fontId="46" fillId="0" borderId="0" xfId="55" applyFont="1" applyFill="1" applyBorder="1" applyAlignment="1">
      <alignment horizontal="left"/>
    </xf>
    <xf numFmtId="0" fontId="46" fillId="0" borderId="9" xfId="55" applyFont="1" applyFill="1" applyBorder="1" applyAlignment="1">
      <alignment horizontal="center"/>
    </xf>
    <xf numFmtId="173" fontId="46" fillId="0" borderId="0" xfId="35" applyNumberFormat="1" applyFont="1" applyFill="1" applyBorder="1" applyAlignment="1">
      <alignment horizontal="left"/>
    </xf>
    <xf numFmtId="173" fontId="46" fillId="0" borderId="0" xfId="35" applyNumberFormat="1" applyFont="1" applyFill="1" applyBorder="1"/>
    <xf numFmtId="0" fontId="46" fillId="0" borderId="0" xfId="55" applyFont="1" applyFill="1" applyBorder="1"/>
    <xf numFmtId="0" fontId="11" fillId="0" borderId="0" xfId="55" applyFont="1" applyBorder="1" applyAlignment="1">
      <alignment horizontal="right"/>
    </xf>
    <xf numFmtId="0" fontId="11" fillId="0" borderId="0" xfId="55" applyFont="1" applyBorder="1"/>
    <xf numFmtId="1" fontId="34" fillId="0" borderId="0" xfId="55" applyNumberFormat="1" applyFont="1" applyFill="1" applyBorder="1" applyAlignment="1">
      <alignment horizontal="center"/>
    </xf>
    <xf numFmtId="173" fontId="4" fillId="13" borderId="0" xfId="35" applyNumberFormat="1" applyFont="1" applyFill="1" applyBorder="1" applyAlignment="1"/>
    <xf numFmtId="0" fontId="46" fillId="0" borderId="4" xfId="55" applyFont="1" applyBorder="1"/>
    <xf numFmtId="173" fontId="46" fillId="0" borderId="4" xfId="55" applyNumberFormat="1" applyFont="1" applyBorder="1"/>
    <xf numFmtId="0" fontId="54" fillId="0" borderId="0" xfId="55" applyFont="1" applyFill="1" applyBorder="1"/>
    <xf numFmtId="1" fontId="53" fillId="0" borderId="0" xfId="55" applyNumberFormat="1" applyFont="1" applyFill="1" applyBorder="1" applyAlignment="1">
      <alignment horizontal="center"/>
    </xf>
    <xf numFmtId="172" fontId="4" fillId="0" borderId="0" xfId="0" applyFont="1" applyBorder="1" applyAlignment="1"/>
    <xf numFmtId="169" fontId="4" fillId="0" borderId="0" xfId="0" applyNumberFormat="1" applyFont="1" applyFill="1" applyBorder="1" applyAlignment="1">
      <alignment horizontal="right"/>
    </xf>
    <xf numFmtId="173" fontId="4" fillId="0" borderId="0" xfId="32" applyNumberFormat="1" applyFont="1" applyFill="1" applyBorder="1" applyAlignment="1">
      <alignment horizontal="right"/>
    </xf>
    <xf numFmtId="181" fontId="4" fillId="0" borderId="0" xfId="0" applyNumberFormat="1" applyFont="1" applyFill="1" applyBorder="1" applyAlignment="1"/>
    <xf numFmtId="173" fontId="4" fillId="13" borderId="0" xfId="32" applyNumberFormat="1" applyFont="1" applyFill="1" applyBorder="1" applyAlignment="1">
      <alignment horizontal="right"/>
    </xf>
    <xf numFmtId="173" fontId="4" fillId="0" borderId="0" xfId="32" applyNumberFormat="1" applyFont="1" applyBorder="1" applyAlignment="1"/>
    <xf numFmtId="172" fontId="29" fillId="0" borderId="0" xfId="0" applyFont="1" applyBorder="1" applyAlignment="1"/>
    <xf numFmtId="43" fontId="4" fillId="0" borderId="0" xfId="32" applyFont="1" applyBorder="1"/>
    <xf numFmtId="0" fontId="39" fillId="0" borderId="0" xfId="60" applyNumberFormat="1" applyFont="1" applyFill="1" applyAlignment="1" applyProtection="1">
      <alignment horizontal="center" vertical="top"/>
      <protection locked="0"/>
    </xf>
    <xf numFmtId="0" fontId="92" fillId="0" borderId="0" xfId="0" applyNumberFormat="1" applyFont="1" applyFill="1" applyBorder="1" applyAlignment="1">
      <alignment horizontal="center"/>
    </xf>
    <xf numFmtId="173" fontId="0" fillId="0" borderId="0" xfId="32" applyNumberFormat="1" applyFont="1" applyFill="1" applyAlignment="1"/>
    <xf numFmtId="172" fontId="98" fillId="0" borderId="0" xfId="0" applyFont="1" applyAlignment="1"/>
    <xf numFmtId="170" fontId="98" fillId="0" borderId="0" xfId="64" applyNumberFormat="1" applyFont="1" applyAlignment="1"/>
    <xf numFmtId="173" fontId="46" fillId="0" borderId="0" xfId="32" applyNumberFormat="1" applyFont="1" applyBorder="1"/>
    <xf numFmtId="182" fontId="46" fillId="0" borderId="0" xfId="32" applyNumberFormat="1" applyFont="1" applyAlignment="1">
      <alignment horizontal="center"/>
    </xf>
    <xf numFmtId="173" fontId="46" fillId="0" borderId="0" xfId="32" applyNumberFormat="1" applyFont="1" applyFill="1" applyBorder="1"/>
    <xf numFmtId="183" fontId="0" fillId="0" borderId="0" xfId="32" applyNumberFormat="1" applyFont="1"/>
    <xf numFmtId="173" fontId="99" fillId="0" borderId="0" xfId="32" applyNumberFormat="1" applyFont="1" applyFill="1" applyAlignment="1">
      <alignment vertical="center"/>
    </xf>
    <xf numFmtId="172" fontId="101" fillId="0" borderId="0" xfId="0" applyFont="1" applyAlignment="1"/>
    <xf numFmtId="172" fontId="0" fillId="0" borderId="6" xfId="0" applyBorder="1" applyAlignment="1">
      <alignment horizontal="center"/>
    </xf>
    <xf numFmtId="174" fontId="0" fillId="0" borderId="6" xfId="41" applyNumberFormat="1" applyFont="1" applyFill="1" applyBorder="1" applyAlignment="1">
      <alignment horizontal="center"/>
    </xf>
    <xf numFmtId="172" fontId="0" fillId="0" borderId="6" xfId="0" applyBorder="1" applyAlignment="1"/>
    <xf numFmtId="172" fontId="0" fillId="12" borderId="6" xfId="0" applyFill="1" applyBorder="1" applyAlignment="1">
      <alignment horizontal="center"/>
    </xf>
    <xf numFmtId="172" fontId="0" fillId="0" borderId="6" xfId="0" applyFill="1" applyBorder="1" applyAlignment="1">
      <alignment horizontal="center"/>
    </xf>
    <xf numFmtId="183" fontId="102" fillId="12" borderId="0" xfId="32" applyNumberFormat="1" applyFont="1" applyFill="1"/>
    <xf numFmtId="170" fontId="0" fillId="0" borderId="0" xfId="64" applyNumberFormat="1" applyFont="1" applyAlignment="1"/>
    <xf numFmtId="0" fontId="69" fillId="0" borderId="0" xfId="55" applyFont="1" applyFill="1" applyBorder="1"/>
    <xf numFmtId="173" fontId="46" fillId="12" borderId="0" xfId="32" applyNumberFormat="1" applyFont="1" applyFill="1" applyBorder="1"/>
    <xf numFmtId="173" fontId="99" fillId="12" borderId="0" xfId="32" applyNumberFormat="1" applyFont="1" applyFill="1" applyAlignment="1">
      <alignment vertical="center"/>
    </xf>
    <xf numFmtId="173" fontId="0" fillId="12" borderId="0" xfId="32" applyNumberFormat="1" applyFont="1" applyFill="1" applyAlignment="1"/>
    <xf numFmtId="172" fontId="0" fillId="0" borderId="0" xfId="0" applyFont="1" applyFill="1" applyAlignment="1"/>
    <xf numFmtId="173" fontId="0" fillId="0" borderId="2" xfId="32" applyNumberFormat="1" applyFont="1" applyFill="1" applyBorder="1" applyAlignment="1"/>
    <xf numFmtId="173" fontId="0" fillId="0" borderId="54" xfId="32" applyNumberFormat="1" applyFont="1" applyBorder="1" applyAlignment="1"/>
    <xf numFmtId="172" fontId="110" fillId="0" borderId="0" xfId="0" applyFont="1" applyAlignment="1"/>
    <xf numFmtId="173" fontId="24" fillId="12" borderId="0" xfId="32" applyNumberFormat="1" applyFont="1" applyFill="1" applyAlignment="1"/>
    <xf numFmtId="172" fontId="0" fillId="0" borderId="0" xfId="0" applyBorder="1" applyAlignment="1"/>
    <xf numFmtId="172" fontId="100" fillId="0" borderId="0" xfId="0" applyFont="1" applyBorder="1" applyAlignment="1"/>
    <xf numFmtId="172" fontId="0" fillId="0" borderId="0" xfId="0" applyFont="1" applyBorder="1" applyAlignment="1"/>
    <xf numFmtId="172" fontId="98" fillId="0" borderId="0" xfId="0" applyFont="1" applyBorder="1" applyAlignment="1"/>
    <xf numFmtId="9" fontId="24" fillId="0" borderId="0" xfId="64" applyFont="1" applyBorder="1" applyAlignment="1"/>
    <xf numFmtId="169" fontId="0" fillId="0" borderId="0" xfId="0" applyNumberFormat="1" applyFont="1" applyBorder="1" applyAlignment="1"/>
    <xf numFmtId="169" fontId="109" fillId="0" borderId="0" xfId="0" applyNumberFormat="1" applyFont="1" applyBorder="1" applyAlignment="1"/>
    <xf numFmtId="170" fontId="98" fillId="0" borderId="0" xfId="64" applyNumberFormat="1" applyFont="1" applyBorder="1" applyAlignment="1"/>
    <xf numFmtId="169" fontId="108" fillId="0" borderId="0" xfId="0" applyNumberFormat="1" applyFont="1" applyBorder="1" applyAlignment="1"/>
    <xf numFmtId="172" fontId="107" fillId="0" borderId="0" xfId="0" applyFont="1" applyBorder="1" applyAlignment="1"/>
    <xf numFmtId="170" fontId="0" fillId="0" borderId="0" xfId="64" applyNumberFormat="1" applyFont="1" applyBorder="1" applyAlignment="1"/>
    <xf numFmtId="169" fontId="0" fillId="0" borderId="0" xfId="0" applyNumberFormat="1" applyBorder="1" applyAlignment="1"/>
    <xf numFmtId="9" fontId="0" fillId="0" borderId="0" xfId="64" applyFont="1" applyBorder="1" applyAlignment="1"/>
    <xf numFmtId="170" fontId="98" fillId="0" borderId="0" xfId="64" applyNumberFormat="1" applyFont="1" applyBorder="1" applyAlignment="1">
      <alignment horizontal="right"/>
    </xf>
    <xf numFmtId="172" fontId="110" fillId="0" borderId="0" xfId="0" applyFont="1" applyBorder="1" applyAlignment="1"/>
    <xf numFmtId="173" fontId="0" fillId="0" borderId="0" xfId="32" applyNumberFormat="1" applyFont="1" applyFill="1" applyBorder="1" applyAlignment="1"/>
    <xf numFmtId="172" fontId="0" fillId="0" borderId="0" xfId="0" applyFill="1" applyAlignment="1">
      <alignment horizontal="right"/>
    </xf>
    <xf numFmtId="173" fontId="0" fillId="12" borderId="0" xfId="32" applyNumberFormat="1" applyFont="1" applyFill="1" applyBorder="1" applyAlignment="1"/>
    <xf numFmtId="172" fontId="0" fillId="0" borderId="0" xfId="0" applyAlignment="1">
      <alignment horizontal="right"/>
    </xf>
    <xf numFmtId="0" fontId="4" fillId="0" borderId="0" xfId="120"/>
    <xf numFmtId="0" fontId="4" fillId="0" borderId="0" xfId="120" applyAlignment="1">
      <alignment horizontal="center"/>
    </xf>
    <xf numFmtId="0" fontId="4" fillId="0" borderId="0" xfId="120" applyFont="1"/>
    <xf numFmtId="174" fontId="46" fillId="0" borderId="54" xfId="120" applyNumberFormat="1" applyFont="1" applyBorder="1"/>
    <xf numFmtId="172" fontId="46" fillId="0" borderId="0" xfId="113" applyFont="1"/>
    <xf numFmtId="1" fontId="46" fillId="0" borderId="0" xfId="113" applyNumberFormat="1" applyFont="1" applyAlignment="1">
      <alignment horizontal="center"/>
    </xf>
    <xf numFmtId="0" fontId="4" fillId="12" borderId="0" xfId="120" applyFill="1"/>
    <xf numFmtId="172" fontId="24" fillId="0" borderId="0" xfId="113"/>
    <xf numFmtId="0" fontId="46" fillId="0" borderId="0" xfId="120" applyFont="1"/>
    <xf numFmtId="0" fontId="4" fillId="0" borderId="0" xfId="120" applyBorder="1"/>
    <xf numFmtId="0" fontId="46" fillId="0" borderId="0" xfId="120" applyFont="1" applyBorder="1"/>
    <xf numFmtId="43" fontId="4" fillId="0" borderId="0" xfId="32" applyFont="1"/>
    <xf numFmtId="172" fontId="46" fillId="12" borderId="0" xfId="113" applyFont="1" applyFill="1"/>
    <xf numFmtId="172" fontId="46" fillId="0" borderId="0" xfId="113" applyFont="1" applyAlignment="1">
      <alignment horizontal="center"/>
    </xf>
    <xf numFmtId="0" fontId="46" fillId="0" borderId="6" xfId="120" applyFont="1" applyBorder="1" applyAlignment="1">
      <alignment horizontal="center" wrapText="1"/>
    </xf>
    <xf numFmtId="172" fontId="46" fillId="0" borderId="6" xfId="113" applyFont="1" applyBorder="1" applyAlignment="1">
      <alignment horizontal="center" wrapText="1"/>
    </xf>
    <xf numFmtId="172" fontId="46" fillId="0" borderId="6" xfId="113" applyFont="1" applyBorder="1" applyAlignment="1">
      <alignment wrapText="1"/>
    </xf>
    <xf numFmtId="172" fontId="46" fillId="0" borderId="0" xfId="113" applyFont="1" applyFill="1"/>
    <xf numFmtId="172" fontId="46" fillId="0" borderId="0" xfId="113" applyFont="1" applyFill="1" applyAlignment="1">
      <alignment horizontal="left"/>
    </xf>
    <xf numFmtId="172" fontId="46" fillId="0" borderId="0" xfId="113" applyFont="1" applyAlignment="1">
      <alignment horizontal="left"/>
    </xf>
    <xf numFmtId="172" fontId="91" fillId="0" borderId="0" xfId="113" applyFont="1" applyFill="1" applyAlignment="1">
      <alignment horizontal="left"/>
    </xf>
    <xf numFmtId="0" fontId="46" fillId="0" borderId="0" xfId="120" applyFont="1" applyAlignment="1">
      <alignment horizontal="center"/>
    </xf>
    <xf numFmtId="172" fontId="24" fillId="12" borderId="0" xfId="113" applyFont="1" applyFill="1" applyAlignment="1"/>
    <xf numFmtId="0" fontId="46" fillId="0" borderId="0" xfId="120" applyFont="1" applyFill="1"/>
    <xf numFmtId="0" fontId="97" fillId="0" borderId="0" xfId="120" applyFont="1" applyFill="1"/>
    <xf numFmtId="42" fontId="24" fillId="0" borderId="0" xfId="113" applyNumberFormat="1"/>
    <xf numFmtId="41" fontId="24" fillId="0" borderId="0" xfId="113" applyNumberFormat="1"/>
    <xf numFmtId="42" fontId="69" fillId="12" borderId="0" xfId="113" applyNumberFormat="1" applyFont="1" applyFill="1"/>
    <xf numFmtId="41" fontId="69" fillId="12" borderId="0" xfId="113" applyNumberFormat="1" applyFont="1" applyFill="1"/>
    <xf numFmtId="172" fontId="69" fillId="12" borderId="0" xfId="113" applyFont="1" applyFill="1"/>
    <xf numFmtId="172" fontId="4" fillId="0" borderId="0" xfId="113" applyFont="1" applyFill="1"/>
    <xf numFmtId="172" fontId="96" fillId="0" borderId="0" xfId="113" applyFont="1" applyFill="1"/>
    <xf numFmtId="172" fontId="90" fillId="0" borderId="0" xfId="113" applyFont="1"/>
    <xf numFmtId="172" fontId="24" fillId="0" borderId="0" xfId="113" applyAlignment="1">
      <alignment horizontal="center"/>
    </xf>
    <xf numFmtId="172" fontId="24" fillId="0" borderId="0" xfId="113" applyAlignment="1">
      <alignment horizontal="center" wrapText="1"/>
    </xf>
    <xf numFmtId="0" fontId="29" fillId="0" borderId="0" xfId="120" applyFont="1" applyAlignment="1">
      <alignment horizontal="left"/>
    </xf>
    <xf numFmtId="0" fontId="0" fillId="0" borderId="0" xfId="0" applyNumberFormat="1" applyFont="1" applyFill="1" applyAlignment="1"/>
    <xf numFmtId="172" fontId="0" fillId="0" borderId="0" xfId="0" applyAlignment="1">
      <alignment horizontal="center"/>
    </xf>
    <xf numFmtId="172" fontId="24" fillId="12" borderId="0" xfId="113" applyFont="1" applyFill="1"/>
    <xf numFmtId="172" fontId="0" fillId="12" borderId="0" xfId="113" applyFont="1" applyFill="1"/>
    <xf numFmtId="173" fontId="46" fillId="12" borderId="0" xfId="32" applyNumberFormat="1" applyFont="1" applyFill="1"/>
    <xf numFmtId="173" fontId="4" fillId="12" borderId="0" xfId="32" applyNumberFormat="1" applyFill="1"/>
    <xf numFmtId="173" fontId="46" fillId="0" borderId="0" xfId="32" applyNumberFormat="1" applyFont="1"/>
    <xf numFmtId="173" fontId="46" fillId="0" borderId="0" xfId="32" applyNumberFormat="1" applyFont="1" applyFill="1"/>
    <xf numFmtId="173" fontId="4" fillId="12" borderId="0" xfId="32" applyNumberFormat="1" applyFont="1" applyFill="1"/>
    <xf numFmtId="173" fontId="46" fillId="0" borderId="54" xfId="32" applyNumberFormat="1" applyFont="1" applyBorder="1"/>
    <xf numFmtId="172" fontId="0" fillId="12" borderId="0" xfId="113" applyFont="1" applyFill="1" applyAlignment="1">
      <alignment horizontal="center" wrapText="1"/>
    </xf>
    <xf numFmtId="172" fontId="50" fillId="0" borderId="0" xfId="113" applyFont="1" applyFill="1"/>
    <xf numFmtId="172" fontId="50" fillId="0" borderId="0" xfId="113" applyFont="1" applyFill="1" applyAlignment="1">
      <alignment horizontal="left"/>
    </xf>
    <xf numFmtId="173" fontId="40" fillId="0" borderId="6" xfId="32" applyNumberFormat="1" applyFont="1" applyBorder="1" applyAlignment="1"/>
    <xf numFmtId="0" fontId="58" fillId="0" borderId="0" xfId="0" applyNumberFormat="1" applyFont="1" applyAlignment="1">
      <alignment horizontal="center"/>
    </xf>
    <xf numFmtId="0" fontId="0" fillId="0" borderId="0" xfId="0" applyNumberFormat="1" applyAlignment="1">
      <alignment horizontal="center"/>
    </xf>
    <xf numFmtId="172" fontId="65" fillId="0" borderId="0" xfId="0" applyFont="1" applyAlignment="1">
      <alignment horizontal="center"/>
    </xf>
    <xf numFmtId="0" fontId="65" fillId="0" borderId="0" xfId="32" applyNumberFormat="1" applyFont="1" applyAlignment="1">
      <alignment horizontal="center"/>
    </xf>
    <xf numFmtId="0" fontId="69" fillId="0" borderId="0" xfId="120" applyFont="1"/>
    <xf numFmtId="0" fontId="69" fillId="0" borderId="0" xfId="32" applyNumberFormat="1" applyFont="1" applyAlignment="1">
      <alignment horizontal="center"/>
    </xf>
    <xf numFmtId="0" fontId="114" fillId="0" borderId="0" xfId="120" applyFont="1" applyFill="1"/>
    <xf numFmtId="0" fontId="69" fillId="12" borderId="0" xfId="120" applyFont="1" applyFill="1"/>
    <xf numFmtId="172" fontId="69" fillId="0" borderId="0" xfId="113" applyFont="1"/>
    <xf numFmtId="1" fontId="69" fillId="0" borderId="0" xfId="113" applyNumberFormat="1" applyFont="1" applyFill="1" applyAlignment="1">
      <alignment horizontal="center"/>
    </xf>
    <xf numFmtId="172" fontId="69" fillId="12" borderId="0" xfId="113" applyFont="1" applyFill="1" applyAlignment="1"/>
    <xf numFmtId="172" fontId="69" fillId="0" borderId="0" xfId="113" applyFont="1" applyFill="1" applyAlignment="1">
      <alignment horizontal="center" wrapText="1"/>
    </xf>
    <xf numFmtId="172" fontId="69" fillId="0" borderId="0" xfId="113" applyFont="1" applyAlignment="1">
      <alignment horizontal="center" wrapText="1"/>
    </xf>
    <xf numFmtId="172" fontId="69" fillId="12" borderId="6" xfId="113" applyFont="1" applyFill="1" applyBorder="1"/>
    <xf numFmtId="172" fontId="69" fillId="0" borderId="6" xfId="113" applyFont="1" applyFill="1" applyBorder="1"/>
    <xf numFmtId="172" fontId="69" fillId="0" borderId="0" xfId="113" applyFont="1" applyFill="1"/>
    <xf numFmtId="43" fontId="69" fillId="0" borderId="0" xfId="32" applyFont="1" applyAlignment="1">
      <alignment wrapText="1"/>
    </xf>
    <xf numFmtId="173" fontId="69" fillId="12" borderId="0" xfId="32" applyNumberFormat="1" applyFont="1" applyFill="1"/>
    <xf numFmtId="173" fontId="116" fillId="12" borderId="0" xfId="32" applyNumberFormat="1" applyFont="1" applyFill="1" applyAlignment="1">
      <alignment horizontal="center" wrapText="1"/>
    </xf>
    <xf numFmtId="173" fontId="69" fillId="12" borderId="0" xfId="32" applyNumberFormat="1" applyFont="1" applyFill="1" applyAlignment="1">
      <alignment horizontal="center" wrapText="1"/>
    </xf>
    <xf numFmtId="173" fontId="69" fillId="0" borderId="0" xfId="32" applyNumberFormat="1" applyFont="1" applyAlignment="1">
      <alignment wrapText="1"/>
    </xf>
    <xf numFmtId="173" fontId="116" fillId="12" borderId="0" xfId="32" applyNumberFormat="1" applyFont="1" applyFill="1" applyAlignment="1">
      <alignment wrapText="1"/>
    </xf>
    <xf numFmtId="173" fontId="69" fillId="12" borderId="0" xfId="32" applyNumberFormat="1" applyFont="1" applyFill="1" applyAlignment="1">
      <alignment wrapText="1"/>
    </xf>
    <xf numFmtId="172" fontId="69" fillId="0" borderId="0" xfId="113" applyFont="1" applyFill="1" applyAlignment="1">
      <alignment wrapText="1"/>
    </xf>
    <xf numFmtId="173" fontId="69" fillId="0" borderId="0" xfId="32" applyNumberFormat="1" applyFont="1"/>
    <xf numFmtId="173" fontId="116" fillId="0" borderId="0" xfId="32" applyNumberFormat="1" applyFont="1" applyFill="1" applyAlignment="1">
      <alignment wrapText="1"/>
    </xf>
    <xf numFmtId="43" fontId="116" fillId="0" borderId="0" xfId="32" applyFont="1" applyFill="1" applyAlignment="1">
      <alignment wrapText="1"/>
    </xf>
    <xf numFmtId="1" fontId="69" fillId="0" borderId="0" xfId="113" applyNumberFormat="1" applyFont="1" applyAlignment="1">
      <alignment horizontal="center"/>
    </xf>
    <xf numFmtId="172" fontId="69" fillId="0" borderId="0" xfId="113" applyFont="1" applyAlignment="1">
      <alignment horizontal="center"/>
    </xf>
    <xf numFmtId="172" fontId="69" fillId="0" borderId="6" xfId="113" applyFont="1" applyBorder="1" applyAlignment="1">
      <alignment horizontal="center" wrapText="1"/>
    </xf>
    <xf numFmtId="0" fontId="4" fillId="0" borderId="0" xfId="55" applyFont="1" applyBorder="1" applyAlignment="1">
      <alignment horizontal="center" wrapText="1"/>
    </xf>
    <xf numFmtId="0" fontId="4" fillId="0" borderId="9" xfId="55" applyFont="1" applyBorder="1" applyAlignment="1">
      <alignment horizontal="center" wrapText="1"/>
    </xf>
    <xf numFmtId="0" fontId="111" fillId="0" borderId="0" xfId="122" applyFont="1" applyAlignment="1">
      <alignment horizontal="center"/>
    </xf>
    <xf numFmtId="173" fontId="111" fillId="0" borderId="0" xfId="123" applyNumberFormat="1" applyFont="1" applyAlignment="1">
      <alignment horizontal="center"/>
    </xf>
    <xf numFmtId="10" fontId="111" fillId="0" borderId="0" xfId="124" applyNumberFormat="1" applyFont="1" applyAlignment="1">
      <alignment horizontal="center"/>
    </xf>
    <xf numFmtId="10" fontId="117" fillId="0" borderId="0" xfId="124" applyNumberFormat="1" applyFont="1" applyAlignment="1">
      <alignment horizontal="center"/>
    </xf>
    <xf numFmtId="173" fontId="117" fillId="0" borderId="0" xfId="123" applyNumberFormat="1" applyFont="1" applyAlignment="1">
      <alignment horizontal="center"/>
    </xf>
    <xf numFmtId="0" fontId="117" fillId="0" borderId="0" xfId="122" applyFont="1" applyAlignment="1">
      <alignment horizontal="center"/>
    </xf>
    <xf numFmtId="49" fontId="111" fillId="0" borderId="0" xfId="123" applyNumberFormat="1" applyFont="1" applyBorder="1" applyAlignment="1">
      <alignment horizontal="center" wrapText="1"/>
    </xf>
    <xf numFmtId="0" fontId="112" fillId="0" borderId="0" xfId="122" applyFont="1" applyAlignment="1">
      <alignment horizontal="center" wrapText="1"/>
    </xf>
    <xf numFmtId="49" fontId="111" fillId="12" borderId="0" xfId="123" applyNumberFormat="1" applyFont="1" applyFill="1" applyBorder="1" applyAlignment="1">
      <alignment horizontal="center" wrapText="1"/>
    </xf>
    <xf numFmtId="0" fontId="112" fillId="0" borderId="55" xfId="122" applyFont="1" applyBorder="1" applyAlignment="1"/>
    <xf numFmtId="173" fontId="112" fillId="0" borderId="55" xfId="123" applyNumberFormat="1" applyFont="1" applyBorder="1"/>
    <xf numFmtId="173" fontId="112" fillId="0" borderId="55" xfId="123" applyNumberFormat="1" applyFont="1" applyBorder="1" applyAlignment="1"/>
    <xf numFmtId="173" fontId="112" fillId="0" borderId="55" xfId="123" applyNumberFormat="1" applyFont="1" applyBorder="1" applyAlignment="1">
      <alignment horizontal="center"/>
    </xf>
    <xf numFmtId="10" fontId="112" fillId="0" borderId="55" xfId="122" applyNumberFormat="1" applyFont="1" applyBorder="1"/>
    <xf numFmtId="0" fontId="112" fillId="0" borderId="0" xfId="122" applyFont="1"/>
    <xf numFmtId="0" fontId="112" fillId="0" borderId="56" xfId="122" applyFont="1" applyBorder="1" applyAlignment="1"/>
    <xf numFmtId="173" fontId="112" fillId="0" borderId="56" xfId="123" applyNumberFormat="1" applyFont="1" applyBorder="1"/>
    <xf numFmtId="173" fontId="112" fillId="0" borderId="56" xfId="123" applyNumberFormat="1" applyFont="1" applyBorder="1" applyAlignment="1"/>
    <xf numFmtId="173" fontId="112" fillId="12" borderId="56" xfId="123" applyNumberFormat="1" applyFont="1" applyFill="1" applyBorder="1"/>
    <xf numFmtId="0" fontId="112" fillId="0" borderId="56" xfId="122" applyFont="1" applyBorder="1" applyAlignment="1">
      <alignment horizontal="center"/>
    </xf>
    <xf numFmtId="0" fontId="112" fillId="12" borderId="56" xfId="122" applyFont="1" applyFill="1" applyBorder="1" applyAlignment="1"/>
    <xf numFmtId="43" fontId="112" fillId="0" borderId="56" xfId="123" applyFont="1" applyBorder="1"/>
    <xf numFmtId="10" fontId="112" fillId="0" borderId="56" xfId="122" applyNumberFormat="1" applyFont="1" applyBorder="1"/>
    <xf numFmtId="43" fontId="112" fillId="0" borderId="56" xfId="122" applyNumberFormat="1" applyFont="1" applyBorder="1"/>
    <xf numFmtId="173" fontId="112" fillId="0" borderId="57" xfId="123" applyNumberFormat="1" applyFont="1" applyBorder="1" applyAlignment="1"/>
    <xf numFmtId="173" fontId="112" fillId="0" borderId="57" xfId="123" applyNumberFormat="1" applyFont="1" applyBorder="1"/>
    <xf numFmtId="0" fontId="112" fillId="0" borderId="57" xfId="122" applyFont="1" applyBorder="1" applyAlignment="1"/>
    <xf numFmtId="173" fontId="112" fillId="12" borderId="57" xfId="123" applyNumberFormat="1" applyFont="1" applyFill="1" applyBorder="1"/>
    <xf numFmtId="0" fontId="112" fillId="0" borderId="57" xfId="122" applyFont="1" applyBorder="1" applyAlignment="1">
      <alignment horizontal="center"/>
    </xf>
    <xf numFmtId="0" fontId="112" fillId="12" borderId="57" xfId="122" applyFont="1" applyFill="1" applyBorder="1" applyAlignment="1"/>
    <xf numFmtId="43" fontId="112" fillId="0" borderId="57" xfId="123" applyFont="1" applyBorder="1"/>
    <xf numFmtId="10" fontId="112" fillId="0" borderId="57" xfId="122" applyNumberFormat="1" applyFont="1" applyBorder="1"/>
    <xf numFmtId="43" fontId="112" fillId="0" borderId="57" xfId="122" applyNumberFormat="1" applyFont="1" applyBorder="1"/>
    <xf numFmtId="173" fontId="112" fillId="0" borderId="57" xfId="122" applyNumberFormat="1" applyFont="1" applyBorder="1" applyAlignment="1"/>
    <xf numFmtId="0" fontId="112" fillId="0" borderId="0" xfId="122" applyFont="1" applyAlignment="1"/>
    <xf numFmtId="174" fontId="112" fillId="0" borderId="2" xfId="125" applyNumberFormat="1" applyFont="1" applyBorder="1"/>
    <xf numFmtId="0" fontId="112" fillId="0" borderId="0" xfId="122" applyFont="1" applyAlignment="1">
      <alignment horizontal="left"/>
    </xf>
    <xf numFmtId="174" fontId="112" fillId="0" borderId="2" xfId="125" applyNumberFormat="1" applyFont="1" applyBorder="1" applyAlignment="1"/>
    <xf numFmtId="43" fontId="112" fillId="0" borderId="0" xfId="122" applyNumberFormat="1" applyFont="1" applyBorder="1" applyAlignment="1"/>
    <xf numFmtId="0" fontId="112" fillId="0" borderId="0" xfId="122" applyFont="1" applyAlignment="1">
      <alignment horizontal="right"/>
    </xf>
    <xf numFmtId="173" fontId="112" fillId="0" borderId="0" xfId="123" applyNumberFormat="1" applyFont="1"/>
    <xf numFmtId="0" fontId="112" fillId="0" borderId="0" xfId="122" applyFont="1" applyAlignment="1">
      <alignment horizontal="center"/>
    </xf>
    <xf numFmtId="10" fontId="112" fillId="0" borderId="0" xfId="124" applyNumberFormat="1" applyFont="1"/>
    <xf numFmtId="173" fontId="112" fillId="0" borderId="0" xfId="123" applyNumberFormat="1" applyFont="1" applyAlignment="1"/>
    <xf numFmtId="49" fontId="112" fillId="0" borderId="0" xfId="122" applyNumberFormat="1" applyFont="1" applyAlignment="1"/>
    <xf numFmtId="0" fontId="112" fillId="0" borderId="0" xfId="122" applyFont="1" applyAlignment="1">
      <alignment vertical="top" wrapText="1"/>
    </xf>
    <xf numFmtId="49" fontId="112" fillId="0" borderId="0" xfId="122" applyNumberFormat="1" applyFont="1" applyAlignment="1">
      <alignment horizontal="right" vertical="top" wrapText="1"/>
    </xf>
    <xf numFmtId="0" fontId="112" fillId="0" borderId="0" xfId="122" applyFont="1" applyAlignment="1">
      <alignment horizontal="left" vertical="top" wrapText="1"/>
    </xf>
    <xf numFmtId="49" fontId="112" fillId="0" borderId="0" xfId="122" applyNumberFormat="1" applyFont="1" applyAlignment="1">
      <alignment horizontal="right"/>
    </xf>
    <xf numFmtId="0" fontId="112" fillId="0" borderId="0" xfId="122" applyFont="1" applyAlignment="1">
      <alignment horizontal="left" vertical="top"/>
    </xf>
    <xf numFmtId="49" fontId="111" fillId="0" borderId="0" xfId="122" applyNumberFormat="1" applyFont="1" applyAlignment="1">
      <alignment horizontal="center"/>
    </xf>
    <xf numFmtId="49" fontId="111" fillId="0" borderId="0" xfId="122" applyNumberFormat="1" applyFont="1" applyBorder="1" applyAlignment="1">
      <alignment horizontal="center" wrapText="1"/>
    </xf>
    <xf numFmtId="49" fontId="111" fillId="12" borderId="0" xfId="122" applyNumberFormat="1" applyFont="1" applyFill="1" applyBorder="1" applyAlignment="1">
      <alignment horizontal="center" wrapText="1"/>
    </xf>
    <xf numFmtId="49" fontId="112" fillId="12" borderId="58" xfId="123" applyNumberFormat="1" applyFont="1" applyFill="1" applyBorder="1" applyAlignment="1">
      <alignment horizontal="left"/>
    </xf>
    <xf numFmtId="173" fontId="112" fillId="12" borderId="58" xfId="123" applyNumberFormat="1" applyFont="1" applyFill="1" applyBorder="1"/>
    <xf numFmtId="173" fontId="112" fillId="0" borderId="58" xfId="123" applyNumberFormat="1" applyFont="1" applyBorder="1"/>
    <xf numFmtId="10" fontId="112" fillId="12" borderId="58" xfId="124" applyNumberFormat="1" applyFont="1" applyFill="1" applyBorder="1"/>
    <xf numFmtId="0" fontId="112" fillId="0" borderId="58" xfId="122" applyFont="1" applyBorder="1" applyAlignment="1"/>
    <xf numFmtId="173" fontId="112" fillId="0" borderId="58" xfId="122" applyNumberFormat="1" applyFont="1" applyBorder="1"/>
    <xf numFmtId="49" fontId="112" fillId="12" borderId="56" xfId="123" applyNumberFormat="1" applyFont="1" applyFill="1" applyBorder="1"/>
    <xf numFmtId="10" fontId="112" fillId="12" borderId="56" xfId="124" applyNumberFormat="1" applyFont="1" applyFill="1" applyBorder="1"/>
    <xf numFmtId="49" fontId="112" fillId="0" borderId="0" xfId="122" applyNumberFormat="1" applyFont="1"/>
    <xf numFmtId="173" fontId="112" fillId="0" borderId="0" xfId="123" applyNumberFormat="1" applyFont="1" applyBorder="1" applyAlignment="1"/>
    <xf numFmtId="174" fontId="112" fillId="0" borderId="57" xfId="125" applyNumberFormat="1" applyFont="1" applyBorder="1" applyAlignment="1"/>
    <xf numFmtId="174" fontId="111" fillId="0" borderId="59" xfId="125" applyNumberFormat="1" applyFont="1" applyBorder="1" applyAlignment="1"/>
    <xf numFmtId="49" fontId="112" fillId="0" borderId="0" xfId="123" applyNumberFormat="1" applyFont="1" applyAlignment="1">
      <alignment horizontal="right"/>
    </xf>
    <xf numFmtId="49" fontId="112" fillId="0" borderId="0" xfId="123" applyNumberFormat="1" applyFont="1" applyAlignment="1">
      <alignment vertical="top" wrapText="1"/>
    </xf>
    <xf numFmtId="49" fontId="112" fillId="0" borderId="0" xfId="123" applyNumberFormat="1" applyFont="1" applyAlignment="1">
      <alignment horizontal="left" vertical="top" wrapText="1"/>
    </xf>
    <xf numFmtId="49" fontId="112" fillId="0" borderId="0" xfId="122" applyNumberFormat="1" applyFont="1" applyAlignment="1">
      <alignment vertical="top" wrapText="1"/>
    </xf>
    <xf numFmtId="0" fontId="112" fillId="12" borderId="56" xfId="122" applyFont="1" applyFill="1" applyBorder="1"/>
    <xf numFmtId="0" fontId="111" fillId="0" borderId="6" xfId="122" applyFont="1" applyBorder="1" applyAlignment="1">
      <alignment horizontal="center" wrapText="1"/>
    </xf>
    <xf numFmtId="10" fontId="112" fillId="12" borderId="55" xfId="124" applyNumberFormat="1" applyFont="1" applyFill="1" applyBorder="1"/>
    <xf numFmtId="10" fontId="112" fillId="12" borderId="57" xfId="124" applyNumberFormat="1" applyFont="1" applyFill="1" applyBorder="1"/>
    <xf numFmtId="10" fontId="112" fillId="12" borderId="57" xfId="122" applyNumberFormat="1" applyFont="1" applyFill="1" applyBorder="1"/>
    <xf numFmtId="0" fontId="112" fillId="12" borderId="56" xfId="122" applyFont="1" applyFill="1" applyBorder="1" applyAlignment="1">
      <alignment horizontal="right"/>
    </xf>
    <xf numFmtId="173" fontId="112" fillId="12" borderId="57" xfId="122" applyNumberFormat="1" applyFont="1" applyFill="1" applyBorder="1" applyAlignment="1">
      <alignment horizontal="right"/>
    </xf>
    <xf numFmtId="0" fontId="112" fillId="12" borderId="57" xfId="122" applyFont="1" applyFill="1" applyBorder="1" applyAlignment="1">
      <alignment horizontal="right"/>
    </xf>
    <xf numFmtId="43" fontId="112" fillId="0" borderId="2" xfId="123" applyFont="1" applyBorder="1" applyAlignment="1"/>
    <xf numFmtId="0" fontId="11" fillId="0" borderId="0" xfId="60" applyNumberFormat="1" applyFont="1" applyAlignment="1">
      <alignment horizontal="left" wrapText="1"/>
    </xf>
    <xf numFmtId="172" fontId="73" fillId="13" borderId="0" xfId="0" applyFont="1" applyFill="1" applyBorder="1" applyAlignment="1"/>
    <xf numFmtId="0" fontId="111" fillId="0" borderId="0" xfId="122" applyFont="1" applyBorder="1" applyAlignment="1">
      <alignment horizontal="center" wrapText="1"/>
    </xf>
    <xf numFmtId="173" fontId="112" fillId="0" borderId="58" xfId="123" applyNumberFormat="1" applyFont="1" applyBorder="1" applyAlignment="1"/>
    <xf numFmtId="173" fontId="112" fillId="0" borderId="56" xfId="122" applyNumberFormat="1" applyFont="1" applyBorder="1"/>
    <xf numFmtId="173" fontId="112" fillId="0" borderId="59" xfId="122" applyNumberFormat="1" applyFont="1" applyBorder="1"/>
    <xf numFmtId="43" fontId="112" fillId="0" borderId="0" xfId="123" applyFont="1" applyBorder="1" applyAlignment="1"/>
    <xf numFmtId="174" fontId="112" fillId="0" borderId="0" xfId="125" applyNumberFormat="1" applyFont="1" applyBorder="1" applyAlignment="1"/>
    <xf numFmtId="0" fontId="112" fillId="0" borderId="0" xfId="122" applyFont="1" applyAlignment="1">
      <alignment vertical="top"/>
    </xf>
    <xf numFmtId="49" fontId="112" fillId="0" borderId="0" xfId="122" applyNumberFormat="1" applyFont="1" applyAlignment="1">
      <alignment horizontal="right" vertical="top"/>
    </xf>
    <xf numFmtId="43" fontId="112" fillId="0" borderId="0" xfId="123" applyFont="1"/>
    <xf numFmtId="173" fontId="111" fillId="0" borderId="2" xfId="123" applyNumberFormat="1" applyFont="1" applyBorder="1" applyAlignment="1">
      <alignment horizontal="right"/>
    </xf>
    <xf numFmtId="174" fontId="111" fillId="0" borderId="2" xfId="125" applyNumberFormat="1" applyFont="1" applyBorder="1" applyAlignment="1"/>
    <xf numFmtId="49" fontId="112" fillId="0" borderId="0" xfId="123" applyNumberFormat="1" applyFont="1" applyAlignment="1">
      <alignment horizontal="right" vertical="top" wrapText="1"/>
    </xf>
    <xf numFmtId="9" fontId="112" fillId="13" borderId="58" xfId="124" applyNumberFormat="1" applyFont="1" applyFill="1" applyBorder="1"/>
    <xf numFmtId="9" fontId="112" fillId="13" borderId="56" xfId="124" applyNumberFormat="1" applyFont="1" applyFill="1" applyBorder="1"/>
    <xf numFmtId="0" fontId="112" fillId="13" borderId="56" xfId="122" applyFont="1" applyFill="1" applyBorder="1"/>
    <xf numFmtId="0" fontId="112" fillId="13" borderId="58" xfId="122" applyFont="1" applyFill="1" applyBorder="1"/>
    <xf numFmtId="14" fontId="112" fillId="13" borderId="58" xfId="122" applyNumberFormat="1" applyFont="1" applyFill="1" applyBorder="1"/>
    <xf numFmtId="0" fontId="112" fillId="13" borderId="56" xfId="122" applyFont="1" applyFill="1" applyBorder="1" applyAlignment="1">
      <alignment horizontal="right"/>
    </xf>
    <xf numFmtId="173" fontId="112" fillId="13" borderId="58" xfId="123" applyNumberFormat="1" applyFont="1" applyFill="1" applyBorder="1"/>
    <xf numFmtId="0" fontId="112" fillId="13" borderId="55" xfId="122" applyFont="1" applyFill="1" applyBorder="1"/>
    <xf numFmtId="173" fontId="112" fillId="13" borderId="56" xfId="123" applyNumberFormat="1" applyFont="1" applyFill="1" applyBorder="1"/>
    <xf numFmtId="173" fontId="112" fillId="13" borderId="56" xfId="123" applyNumberFormat="1" applyFont="1" applyFill="1" applyBorder="1" applyAlignment="1"/>
    <xf numFmtId="173" fontId="112" fillId="13" borderId="56" xfId="123" applyNumberFormat="1" applyFont="1" applyFill="1" applyBorder="1" applyAlignment="1">
      <alignment horizontal="center"/>
    </xf>
    <xf numFmtId="49" fontId="111" fillId="13" borderId="6" xfId="122" applyNumberFormat="1" applyFont="1" applyFill="1" applyBorder="1" applyAlignment="1">
      <alignment horizontal="center" wrapText="1"/>
    </xf>
    <xf numFmtId="49" fontId="111" fillId="13" borderId="6" xfId="123" applyNumberFormat="1" applyFont="1" applyFill="1" applyBorder="1" applyAlignment="1">
      <alignment horizontal="center" wrapText="1"/>
    </xf>
    <xf numFmtId="49" fontId="111" fillId="13" borderId="0" xfId="122" applyNumberFormat="1" applyFont="1" applyFill="1" applyBorder="1" applyAlignment="1">
      <alignment horizontal="center" wrapText="1"/>
    </xf>
    <xf numFmtId="49" fontId="111" fillId="13" borderId="0" xfId="123" applyNumberFormat="1" applyFont="1" applyFill="1" applyBorder="1" applyAlignment="1">
      <alignment horizontal="center" wrapText="1"/>
    </xf>
    <xf numFmtId="173" fontId="112" fillId="13" borderId="57" xfId="123" applyNumberFormat="1" applyFont="1" applyFill="1" applyBorder="1"/>
    <xf numFmtId="49" fontId="112" fillId="13" borderId="58" xfId="123" applyNumberFormat="1" applyFont="1" applyFill="1" applyBorder="1" applyAlignment="1">
      <alignment horizontal="left"/>
    </xf>
    <xf numFmtId="49" fontId="112" fillId="13" borderId="56" xfId="123" applyNumberFormat="1" applyFont="1" applyFill="1" applyBorder="1"/>
    <xf numFmtId="172" fontId="57" fillId="0" borderId="4" xfId="0" applyFont="1" applyFill="1" applyBorder="1" applyAlignment="1"/>
    <xf numFmtId="164" fontId="65" fillId="15" borderId="26" xfId="64" applyNumberFormat="1" applyFont="1" applyFill="1" applyBorder="1"/>
    <xf numFmtId="164" fontId="65" fillId="13" borderId="26" xfId="64" applyNumberFormat="1" applyFont="1" applyFill="1" applyBorder="1"/>
    <xf numFmtId="164" fontId="65" fillId="15" borderId="26" xfId="55" applyNumberFormat="1" applyFont="1" applyFill="1" applyBorder="1"/>
    <xf numFmtId="164" fontId="65" fillId="13" borderId="26" xfId="55" applyNumberFormat="1" applyFont="1" applyFill="1" applyBorder="1"/>
    <xf numFmtId="184" fontId="65" fillId="0" borderId="0" xfId="55" applyNumberFormat="1" applyFont="1" applyFill="1" applyBorder="1" applyAlignment="1">
      <alignment horizontal="left"/>
    </xf>
    <xf numFmtId="178" fontId="65" fillId="13" borderId="0" xfId="64" applyNumberFormat="1" applyFont="1" applyFill="1" applyBorder="1" applyAlignment="1">
      <alignment horizontal="right"/>
    </xf>
    <xf numFmtId="43" fontId="61" fillId="0" borderId="0" xfId="32" applyFont="1" applyFill="1"/>
    <xf numFmtId="173" fontId="11" fillId="14" borderId="0" xfId="32" applyNumberFormat="1" applyFont="1" applyFill="1" applyAlignment="1"/>
    <xf numFmtId="172" fontId="120" fillId="0" borderId="0" xfId="0" applyFont="1" applyFill="1"/>
    <xf numFmtId="172" fontId="121" fillId="0" borderId="0" xfId="0" applyFont="1" applyFill="1"/>
    <xf numFmtId="1" fontId="121" fillId="0" borderId="0" xfId="0" applyNumberFormat="1" applyFont="1" applyFill="1" applyAlignment="1">
      <alignment horizontal="center"/>
    </xf>
    <xf numFmtId="172" fontId="78" fillId="0" borderId="0" xfId="0" applyFont="1" applyFill="1" applyAlignment="1" applyProtection="1">
      <alignment horizontal="center"/>
      <protection locked="0"/>
    </xf>
    <xf numFmtId="172" fontId="78" fillId="0" borderId="0" xfId="0" applyFont="1" applyFill="1" applyBorder="1" applyAlignment="1" applyProtection="1">
      <alignment horizontal="center"/>
      <protection locked="0"/>
    </xf>
    <xf numFmtId="172" fontId="65" fillId="0" borderId="0" xfId="0" applyFont="1" applyFill="1" applyAlignment="1" applyProtection="1">
      <alignment horizontal="center"/>
      <protection locked="0"/>
    </xf>
    <xf numFmtId="173" fontId="4" fillId="0" borderId="6" xfId="35" applyNumberFormat="1" applyFont="1" applyFill="1" applyBorder="1" applyAlignment="1"/>
    <xf numFmtId="172" fontId="78" fillId="0" borderId="30" xfId="0" applyFont="1" applyFill="1" applyBorder="1" applyAlignment="1" applyProtection="1">
      <alignment horizontal="center"/>
      <protection locked="0"/>
    </xf>
    <xf numFmtId="172" fontId="78" fillId="0" borderId="7" xfId="0" applyFont="1" applyFill="1" applyBorder="1" applyAlignment="1" applyProtection="1">
      <alignment horizontal="center" wrapText="1"/>
      <protection locked="0"/>
    </xf>
    <xf numFmtId="172" fontId="78" fillId="0" borderId="0" xfId="0" applyFont="1" applyFill="1" applyBorder="1"/>
    <xf numFmtId="172" fontId="78" fillId="0" borderId="31" xfId="0" applyFont="1" applyFill="1" applyBorder="1" applyAlignment="1" applyProtection="1">
      <alignment horizontal="center" wrapText="1"/>
      <protection locked="0"/>
    </xf>
    <xf numFmtId="172" fontId="0" fillId="13" borderId="0" xfId="0" applyFill="1" applyAlignment="1"/>
    <xf numFmtId="185" fontId="53" fillId="6" borderId="0" xfId="32" applyNumberFormat="1" applyFont="1" applyFill="1" applyBorder="1" applyAlignment="1">
      <alignment horizontal="center"/>
    </xf>
    <xf numFmtId="185" fontId="53" fillId="6" borderId="6" xfId="32" applyNumberFormat="1" applyFont="1" applyFill="1" applyBorder="1" applyAlignment="1">
      <alignment horizontal="center"/>
    </xf>
    <xf numFmtId="14" fontId="24" fillId="12" borderId="0" xfId="113" applyNumberFormat="1" applyFont="1" applyFill="1" applyAlignment="1"/>
    <xf numFmtId="0" fontId="68" fillId="13" borderId="30" xfId="61" applyFont="1" applyFill="1" applyBorder="1"/>
    <xf numFmtId="173" fontId="124" fillId="12" borderId="0" xfId="32" applyNumberFormat="1" applyFont="1" applyFill="1" applyBorder="1"/>
    <xf numFmtId="0" fontId="2" fillId="12" borderId="55" xfId="122" applyFont="1" applyFill="1" applyBorder="1"/>
    <xf numFmtId="173" fontId="2" fillId="12" borderId="55" xfId="123" applyNumberFormat="1" applyFont="1" applyFill="1" applyBorder="1"/>
    <xf numFmtId="173" fontId="2" fillId="12" borderId="55" xfId="123" applyNumberFormat="1" applyFont="1" applyFill="1" applyBorder="1" applyAlignment="1"/>
    <xf numFmtId="0" fontId="2" fillId="12" borderId="55" xfId="122" applyFont="1" applyFill="1" applyBorder="1" applyAlignment="1">
      <alignment horizontal="right"/>
    </xf>
    <xf numFmtId="43" fontId="40" fillId="0" borderId="0" xfId="32" applyNumberFormat="1" applyFont="1"/>
    <xf numFmtId="0" fontId="11" fillId="13" borderId="0" xfId="60" applyNumberFormat="1" applyFont="1" applyFill="1" applyAlignment="1">
      <alignment horizontal="right"/>
    </xf>
    <xf numFmtId="43" fontId="65" fillId="0" borderId="21" xfId="32" applyNumberFormat="1" applyFont="1" applyBorder="1"/>
    <xf numFmtId="43" fontId="65" fillId="0" borderId="21" xfId="32" applyNumberFormat="1" applyFont="1" applyFill="1" applyBorder="1"/>
    <xf numFmtId="43" fontId="11" fillId="0" borderId="0" xfId="32" applyNumberFormat="1" applyFont="1" applyAlignment="1"/>
    <xf numFmtId="173" fontId="106" fillId="0" borderId="0" xfId="32" applyNumberFormat="1" applyFont="1" applyBorder="1"/>
    <xf numFmtId="173" fontId="106" fillId="0" borderId="3" xfId="32" applyNumberFormat="1" applyFont="1" applyBorder="1"/>
    <xf numFmtId="173" fontId="106" fillId="0" borderId="9" xfId="32" applyNumberFormat="1" applyFont="1" applyBorder="1"/>
    <xf numFmtId="0" fontId="4" fillId="12" borderId="0" xfId="120" applyFont="1" applyFill="1"/>
    <xf numFmtId="173" fontId="2" fillId="12" borderId="56" xfId="123" applyNumberFormat="1" applyFont="1" applyFill="1" applyBorder="1"/>
    <xf numFmtId="173" fontId="2" fillId="12" borderId="56" xfId="32" applyNumberFormat="1" applyFont="1" applyFill="1" applyBorder="1" applyAlignment="1"/>
    <xf numFmtId="0" fontId="2" fillId="0" borderId="55" xfId="122" applyFont="1" applyBorder="1" applyAlignment="1"/>
    <xf numFmtId="0" fontId="2" fillId="12" borderId="56" xfId="122" applyFont="1" applyFill="1" applyBorder="1" applyAlignment="1">
      <alignment horizontal="right"/>
    </xf>
    <xf numFmtId="0" fontId="2" fillId="0" borderId="56" xfId="122" applyFont="1" applyBorder="1" applyAlignment="1"/>
    <xf numFmtId="173" fontId="106" fillId="6" borderId="48" xfId="32" applyNumberFormat="1" applyFont="1" applyFill="1" applyBorder="1"/>
    <xf numFmtId="41" fontId="48" fillId="13" borderId="7" xfId="53" applyNumberFormat="1" applyFont="1" applyFill="1" applyBorder="1"/>
    <xf numFmtId="41" fontId="48" fillId="13" borderId="7" xfId="33" applyFont="1" applyFill="1" applyBorder="1"/>
    <xf numFmtId="10" fontId="4" fillId="13" borderId="0" xfId="64" applyNumberFormat="1" applyFont="1" applyFill="1" applyBorder="1" applyAlignment="1"/>
    <xf numFmtId="173" fontId="4" fillId="13" borderId="7" xfId="35" applyNumberFormat="1" applyFont="1" applyFill="1" applyBorder="1" applyAlignment="1">
      <alignment horizontal="left"/>
    </xf>
    <xf numFmtId="164" fontId="4" fillId="13" borderId="7" xfId="66" applyNumberFormat="1" applyFont="1" applyFill="1" applyBorder="1" applyAlignment="1">
      <alignment horizontal="left"/>
    </xf>
    <xf numFmtId="173" fontId="4" fillId="6" borderId="0" xfId="32" applyNumberFormat="1" applyFont="1" applyFill="1" applyBorder="1" applyAlignment="1">
      <alignment horizontal="right"/>
    </xf>
    <xf numFmtId="173" fontId="4" fillId="13" borderId="0" xfId="32" applyNumberFormat="1" applyFont="1" applyFill="1" applyBorder="1" applyAlignment="1"/>
    <xf numFmtId="176" fontId="11" fillId="13" borderId="0" xfId="32" applyNumberFormat="1" applyFont="1" applyFill="1" applyAlignment="1"/>
    <xf numFmtId="173" fontId="112" fillId="0" borderId="0" xfId="32" applyNumberFormat="1" applyFont="1" applyAlignment="1">
      <alignment horizontal="left" vertical="top" wrapText="1"/>
    </xf>
    <xf numFmtId="173" fontId="112" fillId="0" borderId="0" xfId="32" applyNumberFormat="1" applyFont="1"/>
    <xf numFmtId="173" fontId="40" fillId="0" borderId="4" xfId="32" applyNumberFormat="1" applyFont="1" applyFill="1" applyBorder="1" applyAlignment="1">
      <alignment horizontal="center"/>
    </xf>
    <xf numFmtId="173" fontId="40" fillId="0" borderId="0" xfId="32" applyNumberFormat="1" applyFont="1" applyFill="1" applyAlignment="1">
      <alignment horizontal="center"/>
    </xf>
    <xf numFmtId="173" fontId="112" fillId="0" borderId="55" xfId="122" applyNumberFormat="1" applyFont="1" applyBorder="1"/>
    <xf numFmtId="0" fontId="68" fillId="0" borderId="0" xfId="60" applyFont="1" applyFill="1" applyAlignment="1">
      <alignment horizontal="left" wrapText="1"/>
    </xf>
    <xf numFmtId="0" fontId="0" fillId="0" borderId="0" xfId="60" applyFont="1" applyFill="1" applyAlignment="1">
      <alignment horizontal="left" wrapText="1"/>
    </xf>
    <xf numFmtId="172" fontId="68" fillId="0" borderId="0" xfId="0" applyFont="1" applyFill="1" applyAlignment="1">
      <alignment vertical="top" wrapText="1"/>
    </xf>
    <xf numFmtId="172" fontId="68" fillId="0" borderId="0" xfId="0" applyFont="1" applyAlignment="1">
      <alignment horizontal="left" vertical="center" wrapText="1"/>
    </xf>
    <xf numFmtId="172" fontId="40" fillId="0" borderId="0" xfId="0" applyFont="1" applyFill="1" applyAlignment="1">
      <alignment horizontal="left" wrapText="1"/>
    </xf>
    <xf numFmtId="0" fontId="62" fillId="0" borderId="0" xfId="55" applyFont="1" applyAlignment="1">
      <alignment horizontal="center"/>
    </xf>
    <xf numFmtId="0" fontId="48" fillId="0" borderId="0" xfId="55" applyFont="1" applyFill="1" applyAlignment="1">
      <alignment horizontal="left" vertical="top" wrapText="1"/>
    </xf>
    <xf numFmtId="0" fontId="52" fillId="7" borderId="0" xfId="55" applyFont="1" applyFill="1" applyBorder="1" applyAlignment="1">
      <alignment horizontal="center" wrapText="1"/>
    </xf>
    <xf numFmtId="0" fontId="4" fillId="0" borderId="0" xfId="55" applyFont="1" applyBorder="1" applyAlignment="1">
      <alignment horizontal="center" wrapText="1"/>
    </xf>
    <xf numFmtId="0" fontId="52" fillId="7" borderId="16" xfId="55" applyFont="1" applyFill="1" applyBorder="1" applyAlignment="1">
      <alignment horizontal="center"/>
    </xf>
    <xf numFmtId="0" fontId="52" fillId="7" borderId="15" xfId="55" applyFont="1" applyFill="1" applyBorder="1" applyAlignment="1">
      <alignment horizontal="center"/>
    </xf>
    <xf numFmtId="0" fontId="52" fillId="7" borderId="14" xfId="55" applyFont="1" applyFill="1" applyBorder="1" applyAlignment="1">
      <alignment horizontal="center"/>
    </xf>
    <xf numFmtId="0" fontId="3" fillId="0" borderId="0" xfId="55" applyFont="1" applyAlignment="1">
      <alignment horizontal="center"/>
    </xf>
    <xf numFmtId="0" fontId="51" fillId="7" borderId="28" xfId="55" applyFont="1" applyFill="1" applyBorder="1" applyAlignment="1">
      <alignment horizontal="center"/>
    </xf>
    <xf numFmtId="0" fontId="51" fillId="7" borderId="17" xfId="55" applyFont="1" applyFill="1" applyBorder="1" applyAlignment="1">
      <alignment horizontal="center"/>
    </xf>
    <xf numFmtId="0" fontId="51" fillId="7" borderId="43" xfId="55" applyFont="1" applyFill="1" applyBorder="1" applyAlignment="1">
      <alignment horizontal="center"/>
    </xf>
    <xf numFmtId="0" fontId="51" fillId="7" borderId="17" xfId="55" applyFont="1" applyFill="1" applyBorder="1" applyAlignment="1">
      <alignment horizontal="center" wrapText="1"/>
    </xf>
    <xf numFmtId="0" fontId="4" fillId="0" borderId="17" xfId="55" applyFont="1" applyBorder="1" applyAlignment="1">
      <alignment horizontal="center" wrapText="1"/>
    </xf>
    <xf numFmtId="0" fontId="4" fillId="0" borderId="43" xfId="55" applyFont="1" applyBorder="1" applyAlignment="1">
      <alignment horizontal="center" wrapText="1"/>
    </xf>
    <xf numFmtId="0" fontId="4" fillId="0" borderId="4" xfId="55" applyFont="1" applyFill="1" applyBorder="1" applyAlignment="1">
      <alignment horizontal="center" wrapText="1"/>
    </xf>
    <xf numFmtId="0" fontId="4" fillId="0" borderId="12" xfId="55" applyFont="1" applyFill="1" applyBorder="1" applyAlignment="1">
      <alignment horizontal="center" wrapText="1"/>
    </xf>
    <xf numFmtId="0" fontId="51" fillId="7" borderId="16" xfId="55" applyFont="1" applyFill="1" applyBorder="1" applyAlignment="1">
      <alignment horizontal="center"/>
    </xf>
    <xf numFmtId="0" fontId="51" fillId="7" borderId="15" xfId="55" applyFont="1" applyFill="1" applyBorder="1" applyAlignment="1">
      <alignment horizontal="center"/>
    </xf>
    <xf numFmtId="0" fontId="51" fillId="7" borderId="14" xfId="55" applyFont="1" applyFill="1" applyBorder="1" applyAlignment="1">
      <alignment horizontal="center"/>
    </xf>
    <xf numFmtId="0" fontId="51" fillId="7" borderId="15" xfId="55" applyFont="1" applyFill="1" applyBorder="1" applyAlignment="1">
      <alignment horizontal="center" wrapText="1"/>
    </xf>
    <xf numFmtId="0" fontId="4" fillId="0" borderId="15" xfId="55" applyFont="1" applyBorder="1" applyAlignment="1">
      <alignment horizontal="center" wrapText="1"/>
    </xf>
    <xf numFmtId="0" fontId="4" fillId="0" borderId="14" xfId="55" applyFont="1" applyBorder="1" applyAlignment="1">
      <alignment horizontal="center" wrapText="1"/>
    </xf>
    <xf numFmtId="0" fontId="4" fillId="7" borderId="15" xfId="55" applyFont="1" applyFill="1" applyBorder="1" applyAlignment="1">
      <alignment horizontal="center" wrapText="1"/>
    </xf>
    <xf numFmtId="0" fontId="4" fillId="7" borderId="14" xfId="55" applyFont="1" applyFill="1" applyBorder="1" applyAlignment="1">
      <alignment horizontal="center" wrapText="1"/>
    </xf>
    <xf numFmtId="0" fontId="29" fillId="0" borderId="0" xfId="55" applyFont="1" applyFill="1" applyBorder="1" applyAlignment="1">
      <alignment horizontal="center" wrapText="1"/>
    </xf>
    <xf numFmtId="0" fontId="4" fillId="0" borderId="0" xfId="55" applyFont="1" applyFill="1" applyBorder="1" applyAlignment="1">
      <alignment horizontal="center" wrapText="1"/>
    </xf>
    <xf numFmtId="0" fontId="4" fillId="0" borderId="9" xfId="55" applyFont="1" applyFill="1" applyBorder="1" applyAlignment="1">
      <alignment horizontal="center" wrapText="1"/>
    </xf>
    <xf numFmtId="0" fontId="51" fillId="7" borderId="10" xfId="55" applyFont="1" applyFill="1" applyBorder="1" applyAlignment="1">
      <alignment horizontal="center"/>
    </xf>
    <xf numFmtId="0" fontId="51" fillId="7" borderId="0" xfId="55" applyFont="1" applyFill="1" applyBorder="1" applyAlignment="1">
      <alignment horizontal="center"/>
    </xf>
    <xf numFmtId="0" fontId="51" fillId="7" borderId="0" xfId="55" applyFont="1" applyFill="1" applyBorder="1" applyAlignment="1">
      <alignment horizontal="center" wrapText="1"/>
    </xf>
    <xf numFmtId="0" fontId="4" fillId="0" borderId="9" xfId="55" applyFont="1" applyBorder="1" applyAlignment="1">
      <alignment horizontal="center" wrapText="1"/>
    </xf>
    <xf numFmtId="0" fontId="51" fillId="0" borderId="16" xfId="55" applyFont="1" applyFill="1" applyBorder="1" applyAlignment="1">
      <alignment horizontal="center"/>
    </xf>
    <xf numFmtId="0" fontId="51" fillId="0" borderId="15" xfId="55" applyFont="1" applyFill="1" applyBorder="1" applyAlignment="1">
      <alignment horizontal="center"/>
    </xf>
    <xf numFmtId="0" fontId="51" fillId="0" borderId="15" xfId="55" applyFont="1" applyFill="1" applyBorder="1" applyAlignment="1">
      <alignment horizontal="center" wrapText="1"/>
    </xf>
    <xf numFmtId="0" fontId="4" fillId="0" borderId="15" xfId="55" applyFont="1" applyFill="1" applyBorder="1" applyAlignment="1">
      <alignment horizontal="center" wrapText="1"/>
    </xf>
    <xf numFmtId="0" fontId="4" fillId="0" borderId="14" xfId="55" applyFont="1" applyFill="1" applyBorder="1" applyAlignment="1">
      <alignment horizontal="center" wrapText="1"/>
    </xf>
    <xf numFmtId="0" fontId="51" fillId="7" borderId="14" xfId="55" applyFont="1" applyFill="1" applyBorder="1" applyAlignment="1">
      <alignment horizontal="center" wrapText="1"/>
    </xf>
    <xf numFmtId="0" fontId="70" fillId="7" borderId="15" xfId="55" applyFont="1" applyFill="1" applyBorder="1" applyAlignment="1">
      <alignment horizontal="center" wrapText="1"/>
    </xf>
    <xf numFmtId="0" fontId="48" fillId="0" borderId="15" xfId="55" applyFont="1" applyBorder="1" applyAlignment="1">
      <alignment horizontal="center" wrapText="1"/>
    </xf>
    <xf numFmtId="0" fontId="48" fillId="0" borderId="14" xfId="55" applyFont="1" applyBorder="1" applyAlignment="1">
      <alignment horizontal="center" wrapText="1"/>
    </xf>
    <xf numFmtId="0" fontId="70" fillId="7" borderId="16" xfId="55" applyFont="1" applyFill="1" applyBorder="1" applyAlignment="1">
      <alignment horizontal="center"/>
    </xf>
    <xf numFmtId="0" fontId="70" fillId="7" borderId="15" xfId="55" applyFont="1" applyFill="1" applyBorder="1" applyAlignment="1">
      <alignment horizontal="center"/>
    </xf>
    <xf numFmtId="173" fontId="46" fillId="0" borderId="0" xfId="55" applyNumberFormat="1" applyFont="1" applyFill="1" applyBorder="1" applyAlignment="1">
      <alignment horizontal="left" wrapText="1"/>
    </xf>
    <xf numFmtId="173" fontId="46" fillId="0" borderId="9" xfId="55" applyNumberFormat="1" applyFont="1" applyFill="1" applyBorder="1" applyAlignment="1">
      <alignment horizontal="left" wrapText="1"/>
    </xf>
    <xf numFmtId="0" fontId="29" fillId="0" borderId="16" xfId="55" applyFont="1" applyFill="1" applyBorder="1" applyAlignment="1">
      <alignment horizontal="center"/>
    </xf>
    <xf numFmtId="0" fontId="29" fillId="0" borderId="15" xfId="55" applyFont="1" applyFill="1" applyBorder="1" applyAlignment="1">
      <alignment horizontal="center"/>
    </xf>
    <xf numFmtId="0" fontId="29" fillId="0" borderId="14" xfId="55" applyFont="1" applyFill="1" applyBorder="1" applyAlignment="1">
      <alignment horizontal="center"/>
    </xf>
    <xf numFmtId="0" fontId="29" fillId="0" borderId="15" xfId="55" applyFont="1" applyFill="1" applyBorder="1" applyAlignment="1">
      <alignment horizontal="center" wrapText="1"/>
    </xf>
    <xf numFmtId="0" fontId="29" fillId="0" borderId="14" xfId="55" applyFont="1" applyFill="1" applyBorder="1" applyAlignment="1">
      <alignment horizontal="center" wrapText="1"/>
    </xf>
    <xf numFmtId="173" fontId="56" fillId="0" borderId="4" xfId="55" applyNumberFormat="1" applyFont="1" applyFill="1" applyBorder="1" applyAlignment="1">
      <alignment horizontal="center" wrapText="1"/>
    </xf>
    <xf numFmtId="173" fontId="56" fillId="0" borderId="12" xfId="55" applyNumberFormat="1" applyFont="1" applyFill="1" applyBorder="1" applyAlignment="1">
      <alignment horizontal="center" wrapText="1"/>
    </xf>
    <xf numFmtId="0" fontId="52" fillId="7" borderId="15" xfId="55" applyFont="1" applyFill="1" applyBorder="1" applyAlignment="1">
      <alignment horizontal="center" wrapText="1"/>
    </xf>
    <xf numFmtId="0" fontId="52" fillId="7" borderId="14" xfId="55" applyFont="1" applyFill="1" applyBorder="1" applyAlignment="1">
      <alignment horizontal="center" wrapText="1"/>
    </xf>
    <xf numFmtId="173" fontId="51" fillId="7" borderId="0" xfId="32" applyNumberFormat="1" applyFont="1" applyFill="1" applyBorder="1" applyAlignment="1">
      <alignment horizontal="center" wrapText="1"/>
    </xf>
    <xf numFmtId="173" fontId="52" fillId="7" borderId="0" xfId="32" applyNumberFormat="1" applyFont="1" applyFill="1" applyBorder="1" applyAlignment="1">
      <alignment horizontal="center" wrapText="1"/>
    </xf>
    <xf numFmtId="172" fontId="4" fillId="0" borderId="0" xfId="0" applyFont="1" applyFill="1" applyBorder="1" applyAlignment="1">
      <alignment horizontal="left" wrapText="1"/>
    </xf>
    <xf numFmtId="0" fontId="65" fillId="0" borderId="22" xfId="0" applyNumberFormat="1" applyFont="1" applyBorder="1" applyAlignment="1">
      <alignment horizontal="center" wrapText="1"/>
    </xf>
    <xf numFmtId="0" fontId="65" fillId="0" borderId="6" xfId="0" applyNumberFormat="1" applyFont="1" applyBorder="1" applyAlignment="1">
      <alignment horizontal="center" wrapText="1"/>
    </xf>
    <xf numFmtId="0" fontId="65" fillId="0" borderId="23" xfId="0" applyNumberFormat="1" applyFont="1" applyBorder="1" applyAlignment="1">
      <alignment horizontal="center" wrapText="1"/>
    </xf>
    <xf numFmtId="172" fontId="0" fillId="14" borderId="7" xfId="0" applyFill="1" applyBorder="1" applyAlignment="1">
      <alignment horizontal="center"/>
    </xf>
    <xf numFmtId="172" fontId="0" fillId="0" borderId="7" xfId="0" applyBorder="1" applyAlignment="1">
      <alignment horizontal="center"/>
    </xf>
    <xf numFmtId="172" fontId="65" fillId="0" borderId="0" xfId="0" applyFont="1" applyAlignment="1">
      <alignment horizontal="left" wrapText="1"/>
    </xf>
    <xf numFmtId="0" fontId="65" fillId="0" borderId="0" xfId="55" applyFont="1" applyFill="1" applyBorder="1" applyAlignment="1">
      <alignment horizontal="left"/>
    </xf>
    <xf numFmtId="172" fontId="65" fillId="0" borderId="0" xfId="0" applyFont="1" applyAlignment="1"/>
    <xf numFmtId="0" fontId="65" fillId="0" borderId="0" xfId="55" applyFont="1" applyFill="1" applyAlignment="1">
      <alignment horizontal="center"/>
    </xf>
    <xf numFmtId="0" fontId="65" fillId="0" borderId="0" xfId="62" applyNumberFormat="1" applyFont="1" applyFill="1" applyAlignment="1">
      <alignment horizontal="center"/>
    </xf>
    <xf numFmtId="0" fontId="86" fillId="0" borderId="0" xfId="55" applyFont="1" applyFill="1" applyBorder="1" applyAlignment="1">
      <alignment horizontal="center"/>
    </xf>
    <xf numFmtId="0" fontId="78" fillId="0" borderId="0" xfId="55" applyFont="1" applyFill="1" applyBorder="1" applyAlignment="1">
      <alignment horizontal="center"/>
    </xf>
    <xf numFmtId="0" fontId="62" fillId="0" borderId="0" xfId="53" applyFont="1" applyFill="1" applyAlignment="1">
      <alignment horizontal="center"/>
    </xf>
    <xf numFmtId="0" fontId="62" fillId="0" borderId="0" xfId="53" applyFont="1" applyFill="1" applyAlignment="1"/>
    <xf numFmtId="0" fontId="68" fillId="0" borderId="0" xfId="53" applyFont="1" applyFill="1" applyBorder="1" applyAlignment="1">
      <alignment wrapText="1"/>
    </xf>
    <xf numFmtId="0" fontId="68" fillId="0" borderId="0" xfId="53" applyFont="1" applyBorder="1" applyAlignment="1">
      <alignment wrapText="1"/>
    </xf>
    <xf numFmtId="0" fontId="68" fillId="0" borderId="0" xfId="53" applyFont="1" applyFill="1" applyBorder="1" applyAlignment="1">
      <alignment horizontal="center"/>
    </xf>
    <xf numFmtId="0" fontId="3" fillId="0" borderId="0" xfId="53" applyFont="1" applyFill="1" applyAlignment="1">
      <alignment horizontal="center"/>
    </xf>
    <xf numFmtId="0" fontId="3" fillId="0" borderId="0" xfId="53" applyFont="1" applyFill="1" applyAlignment="1"/>
    <xf numFmtId="0" fontId="48" fillId="0" borderId="0" xfId="53" applyFont="1" applyFill="1" applyBorder="1" applyAlignment="1">
      <alignment wrapText="1"/>
    </xf>
    <xf numFmtId="0" fontId="48" fillId="0" borderId="0" xfId="53" applyFont="1" applyBorder="1" applyAlignment="1">
      <alignment wrapText="1"/>
    </xf>
    <xf numFmtId="0" fontId="48" fillId="0" borderId="0" xfId="53" applyFont="1" applyFill="1" applyBorder="1" applyAlignment="1">
      <alignment horizontal="center"/>
    </xf>
    <xf numFmtId="0" fontId="6" fillId="0" borderId="0" xfId="53" applyFont="1" applyFill="1" applyAlignment="1">
      <alignment horizontal="center"/>
    </xf>
    <xf numFmtId="172" fontId="65" fillId="0" borderId="0" xfId="0" applyFont="1" applyFill="1" applyAlignment="1" applyProtection="1">
      <alignment horizontal="center"/>
      <protection locked="0"/>
    </xf>
    <xf numFmtId="172" fontId="65" fillId="0" borderId="0" xfId="0" applyFont="1" applyFill="1" applyAlignment="1">
      <alignment horizontal="center"/>
    </xf>
    <xf numFmtId="173" fontId="78" fillId="0" borderId="15" xfId="0" applyNumberFormat="1" applyFont="1" applyFill="1" applyBorder="1" applyAlignment="1" applyProtection="1">
      <alignment horizontal="center"/>
      <protection locked="0"/>
    </xf>
    <xf numFmtId="172" fontId="78" fillId="0" borderId="0" xfId="0" applyFont="1" applyFill="1" applyAlignment="1" applyProtection="1">
      <alignment horizontal="center"/>
      <protection locked="0"/>
    </xf>
    <xf numFmtId="172" fontId="78" fillId="10" borderId="16" xfId="0" applyFont="1" applyFill="1" applyBorder="1" applyAlignment="1" applyProtection="1">
      <alignment horizontal="center"/>
      <protection locked="0"/>
    </xf>
    <xf numFmtId="172" fontId="78" fillId="10" borderId="15" xfId="0" applyFont="1" applyFill="1" applyBorder="1" applyAlignment="1" applyProtection="1">
      <alignment horizontal="center"/>
      <protection locked="0"/>
    </xf>
    <xf numFmtId="172" fontId="78" fillId="10" borderId="14" xfId="0" applyFont="1" applyFill="1" applyBorder="1" applyAlignment="1" applyProtection="1">
      <alignment horizontal="center"/>
      <protection locked="0"/>
    </xf>
    <xf numFmtId="172" fontId="65" fillId="0" borderId="0" xfId="0" applyFont="1" applyFill="1" applyAlignment="1" applyProtection="1">
      <alignment horizontal="left" wrapText="1"/>
      <protection locked="0"/>
    </xf>
    <xf numFmtId="172" fontId="78" fillId="0" borderId="0" xfId="0" applyFont="1" applyFill="1" applyAlignment="1">
      <alignment horizontal="center"/>
    </xf>
    <xf numFmtId="172" fontId="78" fillId="0" borderId="0" xfId="0" applyFont="1" applyFill="1" applyBorder="1" applyAlignment="1" applyProtection="1">
      <alignment horizontal="center"/>
      <protection locked="0"/>
    </xf>
    <xf numFmtId="172" fontId="78" fillId="0" borderId="0" xfId="0" applyFont="1" applyFill="1" applyBorder="1" applyAlignment="1">
      <alignment horizontal="center"/>
    </xf>
    <xf numFmtId="172" fontId="59" fillId="0" borderId="0" xfId="0" applyFont="1" applyFill="1" applyAlignment="1">
      <alignment horizontal="center"/>
    </xf>
    <xf numFmtId="172" fontId="3" fillId="0" borderId="0" xfId="0" applyFont="1" applyFill="1" applyAlignment="1" applyProtection="1">
      <alignment horizontal="center"/>
      <protection locked="0"/>
    </xf>
    <xf numFmtId="172" fontId="0" fillId="0" borderId="0" xfId="0" applyFont="1" applyFill="1" applyAlignment="1">
      <alignment horizontal="center"/>
    </xf>
    <xf numFmtId="172" fontId="122" fillId="0" borderId="0" xfId="0" applyFont="1" applyAlignment="1">
      <alignment horizontal="left" vertical="center" wrapText="1"/>
    </xf>
    <xf numFmtId="172" fontId="61" fillId="0" borderId="0" xfId="0" applyFont="1" applyFill="1" applyAlignment="1">
      <alignment horizontal="center" wrapText="1"/>
    </xf>
    <xf numFmtId="172" fontId="61" fillId="0" borderId="0" xfId="0" applyFont="1" applyFill="1" applyAlignment="1">
      <alignment horizontal="center"/>
    </xf>
    <xf numFmtId="0" fontId="112" fillId="0" borderId="0" xfId="122" applyFont="1" applyAlignment="1">
      <alignment horizontal="left" vertical="top" wrapText="1"/>
    </xf>
    <xf numFmtId="0" fontId="111" fillId="0" borderId="6" xfId="122" applyFont="1" applyBorder="1" applyAlignment="1">
      <alignment horizontal="center" wrapText="1"/>
    </xf>
    <xf numFmtId="173" fontId="112" fillId="0" borderId="2" xfId="123" applyNumberFormat="1" applyFont="1" applyBorder="1" applyAlignment="1">
      <alignment horizontal="right"/>
    </xf>
    <xf numFmtId="49" fontId="112" fillId="0" borderId="0" xfId="122" applyNumberFormat="1" applyFont="1" applyAlignment="1">
      <alignment horizontal="left" vertical="top" wrapText="1"/>
    </xf>
    <xf numFmtId="49" fontId="112" fillId="0" borderId="0" xfId="123" applyNumberFormat="1" applyFont="1" applyAlignment="1">
      <alignment horizontal="left" vertical="top" wrapText="1"/>
    </xf>
    <xf numFmtId="173" fontId="112" fillId="0" borderId="57" xfId="123" applyNumberFormat="1" applyFont="1" applyBorder="1" applyAlignment="1">
      <alignment horizontal="right"/>
    </xf>
    <xf numFmtId="0" fontId="111" fillId="0" borderId="0" xfId="122" applyFont="1" applyBorder="1" applyAlignment="1">
      <alignment horizontal="left" wrapText="1"/>
    </xf>
    <xf numFmtId="0" fontId="111" fillId="0" borderId="6" xfId="122" applyFont="1" applyBorder="1" applyAlignment="1">
      <alignment horizontal="left" wrapText="1"/>
    </xf>
    <xf numFmtId="43" fontId="112" fillId="0" borderId="0" xfId="123" applyFont="1" applyAlignment="1">
      <alignment horizontal="right"/>
    </xf>
    <xf numFmtId="0" fontId="111" fillId="0" borderId="0" xfId="122" applyFont="1" applyBorder="1" applyAlignment="1">
      <alignment horizontal="center" wrapText="1"/>
    </xf>
    <xf numFmtId="43" fontId="112" fillId="0" borderId="57" xfId="123" applyFont="1" applyBorder="1" applyAlignment="1">
      <alignment horizontal="right"/>
    </xf>
    <xf numFmtId="173" fontId="112" fillId="0" borderId="0" xfId="123" applyNumberFormat="1" applyFont="1" applyAlignment="1">
      <alignment horizontal="left"/>
    </xf>
    <xf numFmtId="172" fontId="0" fillId="0" borderId="0" xfId="113" applyFont="1" applyFill="1" applyAlignment="1">
      <alignment horizontal="center"/>
    </xf>
    <xf numFmtId="172" fontId="24" fillId="0" borderId="0" xfId="113" applyFont="1" applyFill="1" applyAlignment="1">
      <alignment horizontal="center"/>
    </xf>
    <xf numFmtId="172" fontId="46" fillId="0" borderId="0" xfId="113" applyFont="1" applyFill="1" applyAlignment="1">
      <alignment horizontal="left"/>
    </xf>
    <xf numFmtId="172" fontId="69" fillId="0" borderId="0" xfId="113" applyFont="1" applyFill="1" applyAlignment="1">
      <alignment horizontal="center"/>
    </xf>
    <xf numFmtId="172" fontId="115" fillId="0" borderId="0" xfId="113" applyFont="1" applyAlignment="1">
      <alignment wrapText="1"/>
    </xf>
    <xf numFmtId="172" fontId="115" fillId="0" borderId="0" xfId="113" applyFont="1" applyAlignment="1">
      <alignment horizontal="left"/>
    </xf>
    <xf numFmtId="172" fontId="4" fillId="0" borderId="4" xfId="113" applyFont="1" applyFill="1" applyBorder="1" applyAlignment="1">
      <alignment horizontal="center"/>
    </xf>
    <xf numFmtId="0" fontId="46" fillId="0" borderId="0" xfId="55" applyFont="1" applyFill="1"/>
    <xf numFmtId="0" fontId="46" fillId="0" borderId="0" xfId="55" applyFont="1"/>
    <xf numFmtId="0" fontId="46" fillId="0" borderId="0" xfId="55" applyFont="1" applyFill="1" applyAlignment="1">
      <alignment horizontal="left"/>
    </xf>
    <xf numFmtId="0" fontId="46" fillId="0" borderId="0" xfId="55" applyFont="1" applyFill="1" applyAlignment="1">
      <alignment horizontal="center" wrapText="1"/>
    </xf>
    <xf numFmtId="172" fontId="46" fillId="0" borderId="0" xfId="0" applyFont="1" applyBorder="1" applyAlignment="1">
      <alignment vertical="center"/>
    </xf>
    <xf numFmtId="172" fontId="38" fillId="0" borderId="0" xfId="116" applyFont="1" applyBorder="1" applyAlignment="1">
      <alignment vertical="center"/>
    </xf>
    <xf numFmtId="172" fontId="38" fillId="12" borderId="0" xfId="116" applyFont="1" applyFill="1" applyBorder="1" applyAlignment="1">
      <alignment vertical="center"/>
    </xf>
    <xf numFmtId="0" fontId="46" fillId="12" borderId="0" xfId="55" applyFont="1" applyFill="1" applyBorder="1"/>
    <xf numFmtId="0" fontId="46" fillId="0" borderId="0" xfId="55" applyFont="1" applyFill="1" applyAlignment="1">
      <alignment horizontal="right"/>
    </xf>
    <xf numFmtId="0" fontId="124" fillId="0" borderId="0" xfId="55" applyFont="1" applyFill="1"/>
    <xf numFmtId="172" fontId="46" fillId="0" borderId="0" xfId="0" applyFont="1" applyFill="1" applyAlignment="1">
      <alignment horizontal="left" vertical="top" wrapText="1"/>
    </xf>
  </cellXfs>
  <cellStyles count="126">
    <cellStyle name="C00A" xfId="1" xr:uid="{00000000-0005-0000-0000-000000000000}"/>
    <cellStyle name="C00B" xfId="2" xr:uid="{00000000-0005-0000-0000-000001000000}"/>
    <cellStyle name="C00L" xfId="3" xr:uid="{00000000-0005-0000-0000-000002000000}"/>
    <cellStyle name="C01A" xfId="4" xr:uid="{00000000-0005-0000-0000-000003000000}"/>
    <cellStyle name="C01B" xfId="5" xr:uid="{00000000-0005-0000-0000-000004000000}"/>
    <cellStyle name="C01H" xfId="6" xr:uid="{00000000-0005-0000-0000-000005000000}"/>
    <cellStyle name="C01L" xfId="7" xr:uid="{00000000-0005-0000-0000-000006000000}"/>
    <cellStyle name="C02A" xfId="8" xr:uid="{00000000-0005-0000-0000-000007000000}"/>
    <cellStyle name="C02B" xfId="9" xr:uid="{00000000-0005-0000-0000-000008000000}"/>
    <cellStyle name="C02H" xfId="10" xr:uid="{00000000-0005-0000-0000-000009000000}"/>
    <cellStyle name="C02L" xfId="11" xr:uid="{00000000-0005-0000-0000-00000A000000}"/>
    <cellStyle name="C03A" xfId="12" xr:uid="{00000000-0005-0000-0000-00000B000000}"/>
    <cellStyle name="C03B" xfId="13" xr:uid="{00000000-0005-0000-0000-00000C000000}"/>
    <cellStyle name="C03H" xfId="14" xr:uid="{00000000-0005-0000-0000-00000D000000}"/>
    <cellStyle name="C03L" xfId="15" xr:uid="{00000000-0005-0000-0000-00000E000000}"/>
    <cellStyle name="C04A" xfId="16" xr:uid="{00000000-0005-0000-0000-00000F000000}"/>
    <cellStyle name="C04B" xfId="17" xr:uid="{00000000-0005-0000-0000-000010000000}"/>
    <cellStyle name="C04H" xfId="18" xr:uid="{00000000-0005-0000-0000-000011000000}"/>
    <cellStyle name="C04L" xfId="19" xr:uid="{00000000-0005-0000-0000-000012000000}"/>
    <cellStyle name="C05A" xfId="20" xr:uid="{00000000-0005-0000-0000-000013000000}"/>
    <cellStyle name="C05B" xfId="21" xr:uid="{00000000-0005-0000-0000-000014000000}"/>
    <cellStyle name="C05H" xfId="22" xr:uid="{00000000-0005-0000-0000-000015000000}"/>
    <cellStyle name="C05L" xfId="23" xr:uid="{00000000-0005-0000-0000-000016000000}"/>
    <cellStyle name="C05L 2" xfId="117" xr:uid="{00000000-0005-0000-0000-000017000000}"/>
    <cellStyle name="C06A" xfId="24" xr:uid="{00000000-0005-0000-0000-000018000000}"/>
    <cellStyle name="C06B" xfId="25" xr:uid="{00000000-0005-0000-0000-000019000000}"/>
    <cellStyle name="C06H" xfId="26" xr:uid="{00000000-0005-0000-0000-00001A000000}"/>
    <cellStyle name="C06L" xfId="27" xr:uid="{00000000-0005-0000-0000-00001B000000}"/>
    <cellStyle name="C07A" xfId="28" xr:uid="{00000000-0005-0000-0000-00001C000000}"/>
    <cellStyle name="C07B" xfId="29" xr:uid="{00000000-0005-0000-0000-00001D000000}"/>
    <cellStyle name="C07H" xfId="30" xr:uid="{00000000-0005-0000-0000-00001E000000}"/>
    <cellStyle name="C07L" xfId="31" xr:uid="{00000000-0005-0000-0000-00001F000000}"/>
    <cellStyle name="Comma" xfId="32" builtinId="3"/>
    <cellStyle name="Comma [0]" xfId="33" builtinId="6"/>
    <cellStyle name="Comma 11" xfId="112" xr:uid="{00000000-0005-0000-0000-000022000000}"/>
    <cellStyle name="Comma 2" xfId="34" xr:uid="{00000000-0005-0000-0000-000023000000}"/>
    <cellStyle name="Comma 2 2" xfId="35" xr:uid="{00000000-0005-0000-0000-000024000000}"/>
    <cellStyle name="Comma 3" xfId="36" xr:uid="{00000000-0005-0000-0000-000025000000}"/>
    <cellStyle name="Comma 3 2" xfId="37" xr:uid="{00000000-0005-0000-0000-000026000000}"/>
    <cellStyle name="Comma 4" xfId="38" xr:uid="{00000000-0005-0000-0000-000027000000}"/>
    <cellStyle name="Comma 5" xfId="115" xr:uid="{00000000-0005-0000-0000-000028000000}"/>
    <cellStyle name="Comma 5 2" xfId="121" xr:uid="{00000000-0005-0000-0000-000029000000}"/>
    <cellStyle name="Comma 6" xfId="123" xr:uid="{00000000-0005-0000-0000-00002A000000}"/>
    <cellStyle name="Comma0" xfId="39" xr:uid="{00000000-0005-0000-0000-00002B000000}"/>
    <cellStyle name="Config Data" xfId="40" xr:uid="{00000000-0005-0000-0000-00002C000000}"/>
    <cellStyle name="Currency" xfId="41" builtinId="4"/>
    <cellStyle name="Currency 2" xfId="42" xr:uid="{00000000-0005-0000-0000-00002E000000}"/>
    <cellStyle name="Currency 2 2" xfId="43" xr:uid="{00000000-0005-0000-0000-00002F000000}"/>
    <cellStyle name="Currency 3" xfId="44" xr:uid="{00000000-0005-0000-0000-000030000000}"/>
    <cellStyle name="Currency 3 2" xfId="45" xr:uid="{00000000-0005-0000-0000-000031000000}"/>
    <cellStyle name="Currency 4" xfId="125" xr:uid="{00000000-0005-0000-0000-000032000000}"/>
    <cellStyle name="Currency0" xfId="46" xr:uid="{00000000-0005-0000-0000-000033000000}"/>
    <cellStyle name="Date" xfId="47" xr:uid="{00000000-0005-0000-0000-000034000000}"/>
    <cellStyle name="Fixed" xfId="48" xr:uid="{00000000-0005-0000-0000-000035000000}"/>
    <cellStyle name="Heading 1" xfId="49" builtinId="16" customBuiltin="1"/>
    <cellStyle name="Heading 2" xfId="50" builtinId="17" customBuiltin="1"/>
    <cellStyle name="Heading 2 2" xfId="118" xr:uid="{00000000-0005-0000-0000-000038000000}"/>
    <cellStyle name="Heading1" xfId="51" xr:uid="{00000000-0005-0000-0000-000039000000}"/>
    <cellStyle name="Heading2" xfId="52" xr:uid="{00000000-0005-0000-0000-00003A000000}"/>
    <cellStyle name="Hyperlink" xfId="116" builtinId="8"/>
    <cellStyle name="Normal" xfId="0" builtinId="0"/>
    <cellStyle name="Normal 2" xfId="53" xr:uid="{00000000-0005-0000-0000-00003D000000}"/>
    <cellStyle name="Normal 3" xfId="54" xr:uid="{00000000-0005-0000-0000-00003E000000}"/>
    <cellStyle name="Normal 3 2" xfId="55" xr:uid="{00000000-0005-0000-0000-00003F000000}"/>
    <cellStyle name="Normal 3_Attach O, GG, Support -New Method 2-14-11" xfId="56" xr:uid="{00000000-0005-0000-0000-000040000000}"/>
    <cellStyle name="Normal 4" xfId="57" xr:uid="{00000000-0005-0000-0000-000041000000}"/>
    <cellStyle name="Normal 4 2" xfId="58" xr:uid="{00000000-0005-0000-0000-000042000000}"/>
    <cellStyle name="Normal 5" xfId="113" xr:uid="{00000000-0005-0000-0000-000043000000}"/>
    <cellStyle name="Normal 6" xfId="114" xr:uid="{00000000-0005-0000-0000-000044000000}"/>
    <cellStyle name="Normal 6 2" xfId="120" xr:uid="{00000000-0005-0000-0000-000045000000}"/>
    <cellStyle name="Normal 7" xfId="59" xr:uid="{00000000-0005-0000-0000-000046000000}"/>
    <cellStyle name="Normal 8" xfId="122" xr:uid="{00000000-0005-0000-0000-000047000000}"/>
    <cellStyle name="Normal_21 Exh B" xfId="60" xr:uid="{00000000-0005-0000-0000-000048000000}"/>
    <cellStyle name="Normal_AR workpaper --2002 Def Tax Exp by Account 8-14-02" xfId="61" xr:uid="{00000000-0005-0000-0000-000049000000}"/>
    <cellStyle name="Normal_Attachment Os for 2002 True-up" xfId="62" xr:uid="{00000000-0005-0000-0000-00004A000000}"/>
    <cellStyle name="Normal_TrAILCo attach 6 &amp; 7 and Appendix A" xfId="63" xr:uid="{00000000-0005-0000-0000-00004B000000}"/>
    <cellStyle name="Percent" xfId="64" builtinId="5"/>
    <cellStyle name="Percent 2" xfId="65" xr:uid="{00000000-0005-0000-0000-00004D000000}"/>
    <cellStyle name="Percent 2 2" xfId="66" xr:uid="{00000000-0005-0000-0000-00004E000000}"/>
    <cellStyle name="Percent 3" xfId="67" xr:uid="{00000000-0005-0000-0000-00004F000000}"/>
    <cellStyle name="Percent 3 2" xfId="68" xr:uid="{00000000-0005-0000-0000-000050000000}"/>
    <cellStyle name="Percent 4" xfId="69" xr:uid="{00000000-0005-0000-0000-000051000000}"/>
    <cellStyle name="Percent 5" xfId="124" xr:uid="{00000000-0005-0000-0000-000052000000}"/>
    <cellStyle name="PSChar" xfId="70" xr:uid="{00000000-0005-0000-0000-000053000000}"/>
    <cellStyle name="PSDate" xfId="71" xr:uid="{00000000-0005-0000-0000-000054000000}"/>
    <cellStyle name="PSDec" xfId="72" xr:uid="{00000000-0005-0000-0000-000055000000}"/>
    <cellStyle name="PSdesc" xfId="73" xr:uid="{00000000-0005-0000-0000-000056000000}"/>
    <cellStyle name="PSHeading" xfId="74" xr:uid="{00000000-0005-0000-0000-000057000000}"/>
    <cellStyle name="PSInt" xfId="75" xr:uid="{00000000-0005-0000-0000-000058000000}"/>
    <cellStyle name="PSSpacer" xfId="76" xr:uid="{00000000-0005-0000-0000-000059000000}"/>
    <cellStyle name="PStest" xfId="77" xr:uid="{00000000-0005-0000-0000-00005A000000}"/>
    <cellStyle name="R00A" xfId="78" xr:uid="{00000000-0005-0000-0000-00005B000000}"/>
    <cellStyle name="R00B" xfId="79" xr:uid="{00000000-0005-0000-0000-00005C000000}"/>
    <cellStyle name="R00L" xfId="80" xr:uid="{00000000-0005-0000-0000-00005D000000}"/>
    <cellStyle name="R01A" xfId="81" xr:uid="{00000000-0005-0000-0000-00005E000000}"/>
    <cellStyle name="R01B" xfId="82" xr:uid="{00000000-0005-0000-0000-00005F000000}"/>
    <cellStyle name="R01H" xfId="83" xr:uid="{00000000-0005-0000-0000-000060000000}"/>
    <cellStyle name="R01L" xfId="84" xr:uid="{00000000-0005-0000-0000-000061000000}"/>
    <cellStyle name="R02A" xfId="85" xr:uid="{00000000-0005-0000-0000-000062000000}"/>
    <cellStyle name="R02B" xfId="86" xr:uid="{00000000-0005-0000-0000-000063000000}"/>
    <cellStyle name="R02H" xfId="87" xr:uid="{00000000-0005-0000-0000-000064000000}"/>
    <cellStyle name="R02L" xfId="88" xr:uid="{00000000-0005-0000-0000-000065000000}"/>
    <cellStyle name="R03A" xfId="89" xr:uid="{00000000-0005-0000-0000-000066000000}"/>
    <cellStyle name="R03B" xfId="90" xr:uid="{00000000-0005-0000-0000-000067000000}"/>
    <cellStyle name="R03H" xfId="91" xr:uid="{00000000-0005-0000-0000-000068000000}"/>
    <cellStyle name="R03L" xfId="92" xr:uid="{00000000-0005-0000-0000-000069000000}"/>
    <cellStyle name="R04A" xfId="93" xr:uid="{00000000-0005-0000-0000-00006A000000}"/>
    <cellStyle name="R04B" xfId="94" xr:uid="{00000000-0005-0000-0000-00006B000000}"/>
    <cellStyle name="R04H" xfId="95" xr:uid="{00000000-0005-0000-0000-00006C000000}"/>
    <cellStyle name="R04L" xfId="96" xr:uid="{00000000-0005-0000-0000-00006D000000}"/>
    <cellStyle name="R05A" xfId="97" xr:uid="{00000000-0005-0000-0000-00006E000000}"/>
    <cellStyle name="R05B" xfId="98" xr:uid="{00000000-0005-0000-0000-00006F000000}"/>
    <cellStyle name="R05H" xfId="99" xr:uid="{00000000-0005-0000-0000-000070000000}"/>
    <cellStyle name="R05L" xfId="100" xr:uid="{00000000-0005-0000-0000-000071000000}"/>
    <cellStyle name="R05L 2" xfId="119" xr:uid="{00000000-0005-0000-0000-000072000000}"/>
    <cellStyle name="R06A" xfId="101" xr:uid="{00000000-0005-0000-0000-000073000000}"/>
    <cellStyle name="R06B" xfId="102" xr:uid="{00000000-0005-0000-0000-000074000000}"/>
    <cellStyle name="R06H" xfId="103" xr:uid="{00000000-0005-0000-0000-000075000000}"/>
    <cellStyle name="R06L" xfId="104" xr:uid="{00000000-0005-0000-0000-000076000000}"/>
    <cellStyle name="R07A" xfId="105" xr:uid="{00000000-0005-0000-0000-000077000000}"/>
    <cellStyle name="R07B" xfId="106" xr:uid="{00000000-0005-0000-0000-000078000000}"/>
    <cellStyle name="R07H" xfId="107" xr:uid="{00000000-0005-0000-0000-000079000000}"/>
    <cellStyle name="R07L" xfId="108" xr:uid="{00000000-0005-0000-0000-00007A000000}"/>
    <cellStyle name="SECTION" xfId="109" xr:uid="{00000000-0005-0000-0000-00007B000000}"/>
    <cellStyle name="System Defined" xfId="110" xr:uid="{00000000-0005-0000-0000-00007C000000}"/>
    <cellStyle name="Total" xfId="111" builtinId="25" customBuiltin="1"/>
  </cellStyles>
  <dxfs count="0"/>
  <tableStyles count="0" defaultTableStyle="TableStyleMedium9" defaultPivotStyle="PivotStyleLight16"/>
  <colors>
    <mruColors>
      <color rgb="FFFFFF99"/>
      <color rgb="FFFFFFCC"/>
      <color rgb="FFFF00FF"/>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1009650</xdr:colOff>
          <xdr:row>3</xdr:row>
          <xdr:rowOff>152400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800-000002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rvices\Finance\0848_corptaxnorth\tax\accrual\2006\ACE\December\Worksheet%20in%20Basi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EPCO\FERC%20Form%201\Form%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J%20Restructuring\2002%20Budget%20and%20Rates\2002%20High%20Level%20Budget\2002-2006%20TUB%20Forecast%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rvices\Finance\0865\04tr\Monthly%20Balances%20for%20Cap%20Int%20excluded%20routine%20job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bpleskac\Local%20Settings\Temp\2002%20M-1%20Calc\CGE%20M1%20Non%20R&amp;R-%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1\kfjeldal\LOCALS~1\Temp\notes8160F2\2003-2007%20TUB%20Forecast%20Deferral%20Case%20v0801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hared\NewJerseyDeferrals\1999%20Deferrals\oct99\OctoberTariff(Ol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TEMP\Res_Alloc_MBS_Replacement_Proje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ervices\Finance\0865\06tr\cap%20int%202006\Cut-I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Tax\Accruals\2010\2010&#173;_Tax%20Accru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9\PHI%20Consolidated\Q1\Rollforwards,%20Acct%20Recs,%20ETR\PHI%20Consol%20Current-Def'd%20Exp%202009-03%20-%20WORK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1\smallk\LOCALS~1\Temp\notesA188F6\DOCUME~1\x0560fs\LOCALS~1\Temp\notes61BBD3\Pepco%2012-31-07%20TBBS%20adjust%20for%20MD%20rate%20change%20updated%20K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G304\CorpModel\Download\eda_cwi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ervices\Finance\0865\06tr\cap%20int%202006\Interest%20Comput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10\PHI%20Consolidated\Q3\PHI%20Consol%20Current-Defd%20Exp%202010-09%20-%20Working%20Co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ervices\Finance\0992_g038\DC%20DETAIL%202005\Transmission%20Property%20Tax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8\Power%20Delivery\PEPCO\Q3\Uploads,%20Journal%20Entries\July%20Close\July%202008%20Provi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Documents%20and%20Settings\kellevans\My%20Documents\Clients\STR\Indirect%20Cost\Nstar\Pools\Summary%20Query%20other%20cos%20-%20full%20lis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1\smallk\LOCALS~1\Temp\notesA188F6\Pepco%20Payable%20Upload%20Entr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nts%20and%20Settings\mangai\Local%20Settings\Temporary%20Internet%20Files\OLK184\Appleton%20Papers%202000-2001_Additional%201040%20exclusion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rogram%20Files\Exchange\MP%20Adds%20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s>
    <sheetDataSet>
      <sheetData sheetId="0">
        <row r="14">
          <cell r="H14">
            <v>6.2848648648648656E-2</v>
          </cell>
        </row>
      </sheetData>
      <sheetData sheetId="1"/>
      <sheetData sheetId="2"/>
      <sheetData sheetId="3"/>
      <sheetData sheetId="4" refreshError="1">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s>
    <sheetDataSet>
      <sheetData sheetId="0" refreshError="1">
        <row r="28">
          <cell r="E28">
            <v>38718</v>
          </cell>
        </row>
        <row r="29">
          <cell r="E29">
            <v>38718</v>
          </cell>
        </row>
        <row r="52">
          <cell r="E52">
            <v>1.6906170752324599</v>
          </cell>
        </row>
        <row r="58">
          <cell r="E58" t="str">
            <v>Yes</v>
          </cell>
        </row>
        <row r="59">
          <cell r="E59">
            <v>1</v>
          </cell>
        </row>
      </sheetData>
      <sheetData sheetId="1"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18">
          <cell r="F18">
            <v>3.2199999999999999E-2</v>
          </cell>
        </row>
      </sheetData>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Prop taxes to function"/>
      <sheetName val="Trans Assessable plant"/>
      <sheetName val="Labor ratio"/>
      <sheetName val="Sheet3"/>
    </sheetNames>
    <sheetDataSet>
      <sheetData sheetId="0"/>
      <sheetData sheetId="1"/>
      <sheetData sheetId="2">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State 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9.bin"/><Relationship Id="rId1" Type="http://schemas.openxmlformats.org/officeDocument/2006/relationships/hyperlink" Target="http://online.wsj.com/mdc/public/page/2_3020-libor.htm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 Id="rId9"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4:C22"/>
  <sheetViews>
    <sheetView tabSelected="1" workbookViewId="0"/>
  </sheetViews>
  <sheetFormatPr defaultRowHeight="15"/>
  <cols>
    <col min="1" max="1" width="10.109375" bestFit="1" customWidth="1"/>
    <col min="2" max="2" width="5.109375" style="1303" customWidth="1"/>
  </cols>
  <sheetData>
    <row r="4" spans="1:3">
      <c r="B4" s="1303" t="s">
        <v>602</v>
      </c>
    </row>
    <row r="6" spans="1:3">
      <c r="A6" t="s">
        <v>604</v>
      </c>
      <c r="B6" s="1317" t="s">
        <v>605</v>
      </c>
      <c r="C6" t="s">
        <v>606</v>
      </c>
    </row>
    <row r="7" spans="1:3">
      <c r="A7" t="s">
        <v>603</v>
      </c>
      <c r="B7" s="1317">
        <v>1</v>
      </c>
      <c r="C7" t="s">
        <v>610</v>
      </c>
    </row>
    <row r="8" spans="1:3">
      <c r="A8" t="s">
        <v>603</v>
      </c>
      <c r="B8" s="1317">
        <f>+B7+1</f>
        <v>2</v>
      </c>
      <c r="C8" t="s">
        <v>607</v>
      </c>
    </row>
    <row r="9" spans="1:3">
      <c r="A9" t="s">
        <v>603</v>
      </c>
      <c r="B9" s="1317">
        <f>+B8+1</f>
        <v>3</v>
      </c>
      <c r="C9" t="s">
        <v>609</v>
      </c>
    </row>
    <row r="10" spans="1:3">
      <c r="A10" t="s">
        <v>603</v>
      </c>
      <c r="B10" s="1317">
        <f>+B9+1</f>
        <v>4</v>
      </c>
      <c r="C10" t="s">
        <v>608</v>
      </c>
    </row>
    <row r="11" spans="1:3">
      <c r="A11" t="s">
        <v>603</v>
      </c>
      <c r="B11" s="1317">
        <f>+B10+1</f>
        <v>5</v>
      </c>
      <c r="C11" t="s">
        <v>611</v>
      </c>
    </row>
    <row r="12" spans="1:3">
      <c r="A12" t="s">
        <v>603</v>
      </c>
      <c r="B12" s="1317" t="s">
        <v>615</v>
      </c>
      <c r="C12" t="s">
        <v>612</v>
      </c>
    </row>
    <row r="13" spans="1:3">
      <c r="A13" t="str">
        <f>+A12</f>
        <v xml:space="preserve">Attachment </v>
      </c>
      <c r="B13" s="1317" t="s">
        <v>616</v>
      </c>
      <c r="C13" t="s">
        <v>613</v>
      </c>
    </row>
    <row r="14" spans="1:3">
      <c r="A14" t="s">
        <v>603</v>
      </c>
      <c r="B14" s="1317" t="s">
        <v>617</v>
      </c>
      <c r="C14" t="s">
        <v>618</v>
      </c>
    </row>
    <row r="15" spans="1:3">
      <c r="A15" t="s">
        <v>603</v>
      </c>
      <c r="B15" s="1317">
        <f>+B14+1</f>
        <v>8</v>
      </c>
      <c r="C15" t="s">
        <v>758</v>
      </c>
    </row>
    <row r="16" spans="1:3">
      <c r="A16" t="s">
        <v>603</v>
      </c>
      <c r="B16" s="1317">
        <f>+B15+1</f>
        <v>9</v>
      </c>
      <c r="C16" t="s">
        <v>614</v>
      </c>
    </row>
    <row r="17" spans="1:3">
      <c r="A17" t="s">
        <v>603</v>
      </c>
      <c r="B17" s="1112">
        <v>10</v>
      </c>
      <c r="C17" t="s">
        <v>922</v>
      </c>
    </row>
    <row r="18" spans="1:3">
      <c r="A18" t="str">
        <f>+A17</f>
        <v xml:space="preserve">Attachment </v>
      </c>
      <c r="B18" s="1112">
        <v>11</v>
      </c>
      <c r="C18" t="s">
        <v>923</v>
      </c>
    </row>
    <row r="19" spans="1:3">
      <c r="A19" t="str">
        <f>+A18</f>
        <v xml:space="preserve">Attachment </v>
      </c>
      <c r="B19" s="1112">
        <v>12</v>
      </c>
      <c r="C19" t="s">
        <v>1033</v>
      </c>
    </row>
    <row r="20" spans="1:3">
      <c r="A20" t="str">
        <f>+A19</f>
        <v xml:space="preserve">Attachment </v>
      </c>
      <c r="B20" s="1112">
        <v>13</v>
      </c>
      <c r="C20" t="s">
        <v>269</v>
      </c>
    </row>
    <row r="21" spans="1:3">
      <c r="A21" t="str">
        <f>+A20</f>
        <v xml:space="preserve">Attachment </v>
      </c>
      <c r="B21" s="1112">
        <v>14</v>
      </c>
      <c r="C21" t="s">
        <v>1032</v>
      </c>
    </row>
    <row r="22" spans="1:3">
      <c r="B22" s="13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IV500"/>
  <sheetViews>
    <sheetView view="pageBreakPreview" topLeftCell="A82" zoomScale="60" zoomScaleNormal="85" workbookViewId="0">
      <selection activeCell="T82" sqref="T82"/>
    </sheetView>
  </sheetViews>
  <sheetFormatPr defaultColWidth="8.77734375" defaultRowHeight="15"/>
  <cols>
    <col min="1" max="1" width="6" style="1" customWidth="1"/>
    <col min="2" max="2" width="1.44140625" style="1" customWidth="1"/>
    <col min="3" max="3" width="41.21875" style="1" customWidth="1"/>
    <col min="4" max="4" width="21.77734375" style="1" customWidth="1"/>
    <col min="5" max="5" width="16.44140625" style="1" customWidth="1"/>
    <col min="6" max="6" width="5.77734375" style="1" customWidth="1"/>
    <col min="7" max="7" width="7.77734375" style="1" customWidth="1"/>
    <col min="8" max="8" width="13.5546875" style="1" customWidth="1"/>
    <col min="9" max="9" width="6.77734375" style="1" customWidth="1"/>
    <col min="10" max="10" width="15.77734375" style="1" customWidth="1"/>
    <col min="11" max="11" width="8.77734375" style="1" customWidth="1"/>
    <col min="12" max="12" width="10.21875" style="1" customWidth="1"/>
    <col min="13" max="13" width="14.44140625" style="1" customWidth="1"/>
    <col min="14" max="16384" width="8.77734375" style="1"/>
  </cols>
  <sheetData>
    <row r="1" spans="1:61">
      <c r="C1" s="2"/>
      <c r="D1" s="2"/>
      <c r="E1" s="3"/>
      <c r="F1" s="2"/>
      <c r="G1" s="2"/>
      <c r="H1" s="2"/>
      <c r="I1" s="2"/>
      <c r="J1" s="5"/>
      <c r="K1" s="5"/>
      <c r="L1" s="5"/>
      <c r="M1" s="5"/>
      <c r="N1" s="6"/>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c r="C2" s="2"/>
      <c r="D2" s="2"/>
      <c r="E2" s="3"/>
      <c r="F2" s="2"/>
      <c r="G2" s="2"/>
      <c r="H2" s="2"/>
      <c r="I2" s="8"/>
      <c r="K2" s="5"/>
      <c r="L2" s="5"/>
      <c r="M2" s="5" t="s">
        <v>497</v>
      </c>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c r="C3" s="2"/>
      <c r="D3" s="2"/>
      <c r="E3" s="3"/>
      <c r="F3" s="2"/>
      <c r="G3" s="2"/>
      <c r="H3" s="2"/>
      <c r="I3" s="8"/>
      <c r="J3" s="5"/>
      <c r="K3" s="342"/>
      <c r="L3" s="9"/>
      <c r="M3" s="9" t="s">
        <v>433</v>
      </c>
      <c r="N3" s="6"/>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c r="C4" s="2"/>
      <c r="D4" s="2"/>
      <c r="E4" s="3"/>
      <c r="F4" s="2"/>
      <c r="G4" s="2"/>
      <c r="H4" s="2"/>
      <c r="I4" s="8"/>
      <c r="J4" s="8"/>
      <c r="K4" s="10"/>
      <c r="L4" s="10"/>
      <c r="M4" s="6"/>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c r="D5" s="116"/>
      <c r="E5" s="116" t="s">
        <v>107</v>
      </c>
      <c r="F5" s="2"/>
      <c r="G5" s="2"/>
      <c r="H5" s="2"/>
      <c r="I5" s="8"/>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c r="C6" s="2"/>
      <c r="D6" s="11" t="s">
        <v>8</v>
      </c>
      <c r="E6" s="11" t="s">
        <v>9</v>
      </c>
      <c r="F6" s="11"/>
      <c r="G6" s="11"/>
      <c r="H6" s="11"/>
      <c r="I6" s="8"/>
      <c r="J6" s="721"/>
      <c r="K6" s="722"/>
      <c r="L6" s="720"/>
      <c r="M6" s="1489" t="s">
        <v>1091</v>
      </c>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c r="C7" s="10"/>
      <c r="D7" s="10"/>
      <c r="E7" s="10"/>
      <c r="F7" s="10"/>
      <c r="G7" s="10"/>
      <c r="H7" s="10"/>
      <c r="I7" s="10"/>
      <c r="J7" s="10"/>
      <c r="K7" s="425"/>
      <c r="L7" s="340"/>
      <c r="M7" s="338" t="s">
        <v>1098</v>
      </c>
      <c r="N7" s="6"/>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ht="18">
      <c r="A8" s="12"/>
      <c r="C8" s="10"/>
      <c r="D8" s="865"/>
      <c r="E8" s="866" t="s">
        <v>492</v>
      </c>
      <c r="F8" s="852"/>
      <c r="G8" s="852"/>
      <c r="H8" s="851"/>
      <c r="I8" s="10"/>
      <c r="J8" s="10"/>
      <c r="L8" s="10"/>
      <c r="M8" s="9"/>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1:61" ht="18">
      <c r="A9" s="12"/>
      <c r="C9" s="10"/>
      <c r="D9" s="865"/>
      <c r="E9" s="866"/>
      <c r="F9" s="852"/>
      <c r="G9" s="852"/>
      <c r="H9" s="851"/>
      <c r="I9" s="10"/>
      <c r="J9" s="10"/>
      <c r="L9" s="10"/>
      <c r="M9" s="875"/>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ht="18">
      <c r="A10" s="86"/>
      <c r="C10" t="s">
        <v>602</v>
      </c>
      <c r="E10"/>
      <c r="F10" s="852"/>
      <c r="G10" s="852"/>
      <c r="H10" s="851"/>
      <c r="I10" s="10"/>
      <c r="J10" s="10"/>
      <c r="L10" s="10"/>
      <c r="M10" s="875"/>
      <c r="N10" s="6"/>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row>
    <row r="11" spans="1:61" ht="18">
      <c r="A11" s="86"/>
      <c r="C11"/>
      <c r="D11"/>
      <c r="E11"/>
      <c r="F11" s="852"/>
      <c r="G11" s="852"/>
      <c r="H11" s="851"/>
      <c r="I11" s="10"/>
      <c r="J11" s="10"/>
      <c r="L11" s="10"/>
      <c r="M11" s="875"/>
      <c r="N11" s="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row>
    <row r="12" spans="1:61" ht="18">
      <c r="A12" s="86"/>
      <c r="C12" t="s">
        <v>604</v>
      </c>
      <c r="D12" t="s">
        <v>605</v>
      </c>
      <c r="E12" t="s">
        <v>606</v>
      </c>
      <c r="F12" s="852"/>
      <c r="G12" s="852"/>
      <c r="H12" s="851"/>
      <c r="I12" s="10"/>
      <c r="J12" s="10"/>
      <c r="L12" s="10"/>
      <c r="M12" s="875"/>
      <c r="N12" s="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row>
    <row r="13" spans="1:61" ht="18">
      <c r="A13" s="86"/>
      <c r="C13" t="s">
        <v>603</v>
      </c>
      <c r="D13" s="967">
        <v>1</v>
      </c>
      <c r="E13" t="s">
        <v>610</v>
      </c>
      <c r="F13" s="852"/>
      <c r="G13" s="852"/>
      <c r="H13" s="851"/>
      <c r="I13" s="10"/>
      <c r="J13" s="10"/>
      <c r="L13" s="10"/>
      <c r="M13" s="875"/>
      <c r="N13" s="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row>
    <row r="14" spans="1:61" ht="18">
      <c r="A14" s="86"/>
      <c r="C14" t="s">
        <v>603</v>
      </c>
      <c r="D14" s="967">
        <f>+D13+1</f>
        <v>2</v>
      </c>
      <c r="E14" t="s">
        <v>607</v>
      </c>
      <c r="F14" s="852"/>
      <c r="G14" s="852"/>
      <c r="H14" s="851"/>
      <c r="I14" s="10"/>
      <c r="J14" s="10"/>
      <c r="L14" s="10"/>
      <c r="M14" s="875"/>
      <c r="N14" s="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ht="18">
      <c r="A15" s="86"/>
      <c r="C15" t="s">
        <v>603</v>
      </c>
      <c r="D15" s="967">
        <f t="shared" ref="D15:D21" si="0">+D14+1</f>
        <v>3</v>
      </c>
      <c r="E15" t="s">
        <v>609</v>
      </c>
      <c r="F15" s="852"/>
      <c r="G15" s="852"/>
      <c r="H15" s="851"/>
      <c r="I15" s="10"/>
      <c r="J15" s="10"/>
      <c r="L15" s="10"/>
      <c r="M15" s="875"/>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row>
    <row r="16" spans="1:61" ht="18">
      <c r="A16" s="86"/>
      <c r="C16" t="s">
        <v>603</v>
      </c>
      <c r="D16" s="967">
        <f t="shared" si="0"/>
        <v>4</v>
      </c>
      <c r="E16" t="s">
        <v>608</v>
      </c>
      <c r="F16" s="852"/>
      <c r="G16" s="852"/>
      <c r="H16" s="851"/>
      <c r="I16" s="10"/>
      <c r="J16" s="10"/>
      <c r="L16" s="10"/>
      <c r="M16" s="875"/>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row>
    <row r="17" spans="1:61" ht="18">
      <c r="A17" s="86"/>
      <c r="C17" t="s">
        <v>603</v>
      </c>
      <c r="D17" s="967">
        <f t="shared" si="0"/>
        <v>5</v>
      </c>
      <c r="E17" t="s">
        <v>611</v>
      </c>
      <c r="F17" s="852"/>
      <c r="G17" s="852"/>
      <c r="H17" s="851"/>
      <c r="I17" s="10"/>
      <c r="J17" s="10"/>
      <c r="L17" s="10"/>
      <c r="M17" s="875"/>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row>
    <row r="18" spans="1:61" ht="18">
      <c r="A18" s="86"/>
      <c r="C18" t="s">
        <v>603</v>
      </c>
      <c r="D18" s="967" t="s">
        <v>615</v>
      </c>
      <c r="E18" t="s">
        <v>612</v>
      </c>
      <c r="F18" s="852"/>
      <c r="G18" s="852"/>
      <c r="H18" s="851"/>
      <c r="I18" s="10"/>
      <c r="J18" s="10"/>
      <c r="L18" s="10"/>
      <c r="M18" s="875"/>
      <c r="N18" s="6"/>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ht="18">
      <c r="A19" s="86"/>
      <c r="C19" t="s">
        <v>603</v>
      </c>
      <c r="D19" s="967" t="s">
        <v>616</v>
      </c>
      <c r="E19" t="s">
        <v>613</v>
      </c>
      <c r="F19" s="852"/>
      <c r="G19" s="852"/>
      <c r="H19" s="851"/>
      <c r="I19" s="10"/>
      <c r="J19" s="10"/>
      <c r="L19" s="10"/>
      <c r="M19" s="875"/>
      <c r="N19" s="6"/>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row>
    <row r="20" spans="1:61" ht="18">
      <c r="A20" s="86"/>
      <c r="C20" t="s">
        <v>603</v>
      </c>
      <c r="D20" s="967" t="s">
        <v>617</v>
      </c>
      <c r="E20" t="s">
        <v>619</v>
      </c>
      <c r="F20" s="852"/>
      <c r="G20" s="852"/>
      <c r="H20" s="851"/>
      <c r="I20" s="10"/>
      <c r="J20" s="10"/>
      <c r="L20" s="10"/>
      <c r="M20" s="875"/>
      <c r="N20" s="6"/>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row>
    <row r="21" spans="1:61" ht="18">
      <c r="A21" s="86"/>
      <c r="C21" t="s">
        <v>603</v>
      </c>
      <c r="D21" s="967">
        <f t="shared" si="0"/>
        <v>8</v>
      </c>
      <c r="E21" t="s">
        <v>620</v>
      </c>
      <c r="F21" s="852"/>
      <c r="G21" s="852"/>
      <c r="H21" s="851"/>
      <c r="I21" s="10"/>
      <c r="J21" s="10"/>
      <c r="L21" s="10"/>
      <c r="M21" s="875"/>
      <c r="N21" s="6"/>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1:61">
      <c r="A22" s="86"/>
      <c r="C22" s="10" t="s">
        <v>603</v>
      </c>
      <c r="D22" s="29">
        <v>9</v>
      </c>
      <c r="E22" s="76" t="s">
        <v>614</v>
      </c>
      <c r="F22" s="10"/>
      <c r="G22" s="10"/>
      <c r="H22" s="10"/>
      <c r="I22" s="10"/>
      <c r="J22" s="10"/>
      <c r="K22" s="10"/>
      <c r="L22" s="10"/>
      <c r="M22" s="6"/>
      <c r="N22" s="6"/>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row>
    <row r="23" spans="1:61">
      <c r="A23" s="86"/>
      <c r="C23" s="10"/>
      <c r="D23" s="10"/>
      <c r="E23" s="76"/>
      <c r="F23" s="10"/>
      <c r="G23" s="10"/>
      <c r="H23" s="10"/>
      <c r="I23" s="10"/>
      <c r="J23" s="10"/>
      <c r="K23" s="10"/>
      <c r="L23" s="10"/>
      <c r="M23" s="6"/>
      <c r="N23" s="6"/>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1:61">
      <c r="A24" s="86"/>
      <c r="C24" s="10"/>
      <c r="D24" s="10"/>
      <c r="E24" s="76"/>
      <c r="F24" s="10"/>
      <c r="G24" s="10"/>
      <c r="H24" s="10"/>
      <c r="I24" s="10"/>
      <c r="J24" s="10"/>
      <c r="K24" s="10"/>
      <c r="L24" s="10"/>
      <c r="M24" s="6"/>
      <c r="N24" s="6"/>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row>
    <row r="25" spans="1:61">
      <c r="A25" s="86"/>
      <c r="C25" s="10"/>
      <c r="D25" s="10"/>
      <c r="E25" s="76"/>
      <c r="F25" s="10"/>
      <c r="G25" s="10"/>
      <c r="H25" s="10"/>
      <c r="I25" s="10"/>
      <c r="J25" s="10"/>
      <c r="K25" s="10"/>
      <c r="L25" s="10"/>
      <c r="M25" s="6"/>
      <c r="N25" s="6"/>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c r="A26" s="86"/>
      <c r="C26" s="2" t="s">
        <v>7</v>
      </c>
      <c r="D26" s="10"/>
      <c r="E26" s="76"/>
      <c r="F26" s="10"/>
      <c r="G26" s="10"/>
      <c r="H26" s="10"/>
      <c r="I26" s="10"/>
      <c r="J26" s="10"/>
      <c r="K26" s="10"/>
      <c r="L26" s="10"/>
      <c r="M26" s="6"/>
      <c r="N26" s="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row>
    <row r="27" spans="1:61">
      <c r="A27" s="86"/>
      <c r="C27" s="10"/>
      <c r="D27" s="10"/>
      <c r="E27" s="13" t="s">
        <v>10</v>
      </c>
      <c r="F27" s="10"/>
      <c r="G27" s="10"/>
      <c r="H27" s="13" t="s">
        <v>11</v>
      </c>
      <c r="I27" s="10"/>
      <c r="J27" s="13" t="s">
        <v>12</v>
      </c>
      <c r="K27" s="10"/>
      <c r="L27" s="147"/>
      <c r="M27" s="147"/>
      <c r="N27" s="6"/>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c r="A28" s="12"/>
      <c r="C28" s="10"/>
      <c r="D28" s="10"/>
      <c r="L28" s="130"/>
      <c r="M28" s="148"/>
      <c r="N28" s="6"/>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row>
    <row r="29" spans="1:61">
      <c r="A29" s="12" t="s">
        <v>15</v>
      </c>
      <c r="C29" s="10"/>
      <c r="D29" s="10"/>
      <c r="E29" s="14"/>
      <c r="F29" s="10"/>
      <c r="G29" s="10"/>
      <c r="H29" s="10"/>
      <c r="I29" s="10"/>
      <c r="J29" s="4" t="s">
        <v>16</v>
      </c>
      <c r="K29" s="10"/>
      <c r="L29" s="132"/>
      <c r="M29" s="148"/>
      <c r="N29" s="6"/>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row>
    <row r="30" spans="1:61" ht="15.75" thickBot="1">
      <c r="A30" s="15" t="s">
        <v>17</v>
      </c>
      <c r="C30" s="10"/>
      <c r="D30" s="10"/>
      <c r="E30" s="10"/>
      <c r="F30" s="10"/>
      <c r="G30" s="10"/>
      <c r="H30" s="10"/>
      <c r="I30" s="10"/>
      <c r="J30" s="16" t="s">
        <v>18</v>
      </c>
      <c r="K30" s="10"/>
      <c r="L30" s="148"/>
      <c r="M30" s="148"/>
      <c r="N30" s="6"/>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row>
    <row r="31" spans="1:61">
      <c r="A31" s="12">
        <v>1</v>
      </c>
      <c r="C31" s="10" t="s">
        <v>226</v>
      </c>
      <c r="D31" s="10" t="str">
        <f>"(line "&amp;A159&amp;")"</f>
        <v>(line 67)</v>
      </c>
      <c r="E31" s="17"/>
      <c r="F31" s="10"/>
      <c r="G31" s="10"/>
      <c r="H31" s="66" t="s">
        <v>19</v>
      </c>
      <c r="I31" s="10"/>
      <c r="J31" s="159">
        <f>+J159</f>
        <v>2490881.9449852258</v>
      </c>
      <c r="K31" s="10"/>
      <c r="L31" s="132"/>
      <c r="M31" s="156"/>
      <c r="N31" s="6"/>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row>
    <row r="32" spans="1:61">
      <c r="A32" s="86"/>
      <c r="B32" s="67"/>
      <c r="C32" s="66"/>
      <c r="D32" s="66"/>
      <c r="E32" s="66"/>
      <c r="F32" s="66"/>
      <c r="G32" s="66"/>
      <c r="H32" s="66"/>
      <c r="I32" s="66"/>
      <c r="J32" s="432"/>
      <c r="K32" s="10"/>
      <c r="L32" s="132"/>
      <c r="M32" s="133"/>
      <c r="N32" s="6"/>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row>
    <row r="33" spans="1:61">
      <c r="A33" s="12"/>
      <c r="C33" s="10"/>
      <c r="D33" s="10"/>
      <c r="E33" s="10"/>
      <c r="F33" s="10"/>
      <c r="G33" s="10"/>
      <c r="H33" s="10"/>
      <c r="I33" s="10"/>
      <c r="J33" s="174"/>
      <c r="K33" s="10"/>
      <c r="L33" s="132"/>
      <c r="M33" s="133"/>
      <c r="N33" s="6"/>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row>
    <row r="34" spans="1:61" ht="15.75" thickBot="1">
      <c r="A34" s="12" t="s">
        <v>8</v>
      </c>
      <c r="C34" s="18" t="s">
        <v>20</v>
      </c>
      <c r="D34" s="19"/>
      <c r="E34" s="16" t="s">
        <v>21</v>
      </c>
      <c r="F34" s="11"/>
      <c r="G34" s="20" t="s">
        <v>22</v>
      </c>
      <c r="H34" s="20"/>
      <c r="I34" s="10"/>
      <c r="J34" s="174"/>
      <c r="K34" s="10"/>
      <c r="L34" s="132"/>
      <c r="M34" s="133"/>
      <c r="N34" s="6"/>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row>
    <row r="35" spans="1:61">
      <c r="A35" s="12">
        <f>+A31+1</f>
        <v>2</v>
      </c>
      <c r="C35" s="18" t="str">
        <f>+'1 - Revenue Credits'!B15</f>
        <v>Total Revenue Credits</v>
      </c>
      <c r="D35" s="19" t="str">
        <f>"Attachment 1, line "&amp;'1 - Revenue Credits'!A15&amp;""</f>
        <v>Attachment 1, line 7</v>
      </c>
      <c r="E35" s="629">
        <f>+'1 - Revenue Credits'!D15</f>
        <v>0</v>
      </c>
      <c r="F35" s="11"/>
      <c r="G35" s="11" t="str">
        <f>+G58</f>
        <v>TP</v>
      </c>
      <c r="H35" s="627">
        <f>+H58</f>
        <v>1</v>
      </c>
      <c r="I35" s="11"/>
      <c r="J35" s="175">
        <f>+H35*E35</f>
        <v>0</v>
      </c>
      <c r="K35" s="10"/>
      <c r="L35" s="151"/>
      <c r="M35" s="135"/>
      <c r="N35" s="22"/>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row>
    <row r="36" spans="1:61" ht="45">
      <c r="A36" s="114">
        <f>+A35+1</f>
        <v>3</v>
      </c>
      <c r="B36" s="7"/>
      <c r="C36" s="18" t="s">
        <v>105</v>
      </c>
      <c r="D36" s="1426" t="s">
        <v>1001</v>
      </c>
      <c r="E36" s="1466">
        <f>+'7 - True-Up'!J52</f>
        <v>0</v>
      </c>
      <c r="F36" s="10"/>
      <c r="G36" s="118" t="s">
        <v>138</v>
      </c>
      <c r="H36" s="21">
        <v>1</v>
      </c>
      <c r="I36" s="10"/>
      <c r="J36" s="168">
        <f>+H36*E36</f>
        <v>0</v>
      </c>
      <c r="K36" s="10"/>
      <c r="L36" s="130"/>
      <c r="M36" s="133"/>
      <c r="N36" s="6"/>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row>
    <row r="37" spans="1:61">
      <c r="A37" s="114"/>
      <c r="B37" s="7"/>
      <c r="C37" s="18"/>
      <c r="D37" s="10"/>
      <c r="E37" s="26"/>
      <c r="F37" s="26"/>
      <c r="G37" s="26"/>
      <c r="H37" s="26"/>
      <c r="I37" s="26"/>
      <c r="J37" s="11"/>
      <c r="K37" s="10"/>
      <c r="L37" s="132"/>
      <c r="M37" s="133"/>
      <c r="N37" s="6"/>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row>
    <row r="38" spans="1:61" ht="15.75" thickBot="1">
      <c r="A38" s="86">
        <f>+A36+1</f>
        <v>4</v>
      </c>
      <c r="C38" s="18" t="s">
        <v>24</v>
      </c>
      <c r="D38" s="10" t="str">
        <f>"(line "&amp;A31&amp;" minus line "&amp;A35&amp;" plus line "&amp;A36&amp;")"</f>
        <v>(line 1 minus line 2 plus line 3)</v>
      </c>
      <c r="F38" s="11"/>
      <c r="G38" s="11"/>
      <c r="H38" s="11"/>
      <c r="I38" s="11"/>
      <c r="J38" s="27">
        <f>+J31-J35+J36</f>
        <v>2490881.9449852258</v>
      </c>
      <c r="K38" s="10"/>
      <c r="M38" s="157"/>
      <c r="N38" s="6"/>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row>
    <row r="39" spans="1:61" ht="15.75" thickTop="1">
      <c r="A39" s="12"/>
      <c r="D39" s="10"/>
      <c r="E39" s="25"/>
      <c r="F39" s="11"/>
      <c r="G39" s="11"/>
      <c r="H39" s="11"/>
      <c r="I39" s="11"/>
      <c r="K39" s="10"/>
      <c r="L39" s="132"/>
      <c r="M39" s="133"/>
      <c r="N39" s="6"/>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row>
    <row r="40" spans="1:61">
      <c r="A40" s="12"/>
      <c r="D40" s="11"/>
      <c r="E40" s="26"/>
      <c r="F40" s="26"/>
      <c r="G40" s="26"/>
      <c r="H40" s="26"/>
      <c r="I40" s="26"/>
      <c r="J40" s="11"/>
      <c r="K40" s="10"/>
      <c r="L40" s="10"/>
      <c r="M40" s="6"/>
      <c r="N40" s="6"/>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row>
    <row r="41" spans="1:61" s="130" customFormat="1">
      <c r="A41" s="129"/>
      <c r="C41" s="131"/>
      <c r="D41" s="132"/>
      <c r="E41" s="23"/>
      <c r="F41" s="132"/>
      <c r="G41" s="132"/>
      <c r="H41" s="132"/>
      <c r="I41" s="132"/>
      <c r="J41" s="23"/>
      <c r="K41" s="132"/>
      <c r="L41" s="132"/>
      <c r="M41" s="133"/>
      <c r="N41" s="133"/>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row>
    <row r="42" spans="1:61" s="130" customFormat="1">
      <c r="A42" s="129"/>
      <c r="C42" s="131"/>
      <c r="D42" s="132"/>
      <c r="E42" s="23"/>
      <c r="F42" s="132"/>
      <c r="G42" s="132"/>
      <c r="H42" s="132"/>
      <c r="I42" s="132"/>
      <c r="J42" s="23"/>
      <c r="K42" s="132"/>
      <c r="L42" s="132"/>
      <c r="M42" s="133"/>
      <c r="N42" s="133"/>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row>
    <row r="43" spans="1:61">
      <c r="C43" s="2"/>
      <c r="D43" s="2"/>
      <c r="E43" s="3"/>
      <c r="F43" s="2"/>
      <c r="G43" s="2"/>
      <c r="H43" s="2"/>
      <c r="I43" s="2"/>
      <c r="J43" s="2"/>
      <c r="K43" s="4"/>
      <c r="L43" s="4"/>
      <c r="M43" s="5"/>
      <c r="N43" s="6"/>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row>
    <row r="44" spans="1:61">
      <c r="C44" s="2"/>
      <c r="D44" s="2"/>
      <c r="E44" s="3"/>
      <c r="F44" s="2"/>
      <c r="G44" s="2"/>
      <c r="H44" s="2"/>
      <c r="I44" s="8"/>
      <c r="J44" s="5"/>
      <c r="K44" s="5"/>
      <c r="L44" s="5"/>
      <c r="M44" s="5" t="s">
        <v>497</v>
      </c>
      <c r="N44" s="6"/>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row>
    <row r="45" spans="1:61">
      <c r="C45" s="2"/>
      <c r="D45" s="2"/>
      <c r="E45" s="3"/>
      <c r="F45" s="2"/>
      <c r="G45" s="2"/>
      <c r="H45" s="2"/>
      <c r="I45" s="8"/>
      <c r="J45" s="9"/>
      <c r="K45" s="9"/>
      <c r="L45" s="9"/>
      <c r="M45" s="9" t="s">
        <v>437</v>
      </c>
      <c r="N45" s="6"/>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row>
    <row r="46" spans="1:61">
      <c r="C46" s="2"/>
      <c r="D46" s="2"/>
      <c r="E46" s="3"/>
      <c r="F46" s="2"/>
      <c r="G46" s="2"/>
      <c r="H46" s="2"/>
      <c r="I46" s="8"/>
      <c r="J46" s="8"/>
      <c r="K46" s="10"/>
      <c r="L46" s="9"/>
      <c r="M46" s="9"/>
      <c r="N46" s="6"/>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row>
    <row r="47" spans="1:61">
      <c r="C47" s="2"/>
      <c r="D47" s="2"/>
      <c r="E47" s="3"/>
      <c r="F47" s="2"/>
      <c r="G47" s="2"/>
      <c r="H47" s="2"/>
      <c r="I47" s="8"/>
      <c r="J47" s="8"/>
      <c r="K47" s="10"/>
      <c r="L47" s="9"/>
      <c r="M47" s="6"/>
      <c r="N47" s="6"/>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row>
    <row r="48" spans="1:61">
      <c r="C48" s="2" t="s">
        <v>7</v>
      </c>
      <c r="D48" s="116"/>
      <c r="E48" s="116" t="s">
        <v>107</v>
      </c>
      <c r="F48" s="2"/>
      <c r="G48" s="2"/>
      <c r="H48" s="2"/>
      <c r="I48" s="8"/>
      <c r="K48" s="10"/>
      <c r="L48" s="10"/>
      <c r="M48" s="6"/>
      <c r="N48" s="6"/>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row>
    <row r="49" spans="1:61">
      <c r="C49" s="2"/>
      <c r="D49" s="11" t="s">
        <v>8</v>
      </c>
      <c r="E49" s="11" t="s">
        <v>9</v>
      </c>
      <c r="F49" s="11"/>
      <c r="G49" s="11"/>
      <c r="H49" s="11"/>
      <c r="I49" s="8"/>
      <c r="J49" s="8"/>
      <c r="K49" s="10"/>
      <c r="L49" s="10"/>
      <c r="M49" s="6"/>
      <c r="N49" s="6"/>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row>
    <row r="50" spans="1:61">
      <c r="C50" s="2"/>
      <c r="D50" s="11"/>
      <c r="E50" s="11"/>
      <c r="F50" s="11"/>
      <c r="G50" s="11"/>
      <c r="H50" s="11"/>
      <c r="I50" s="8"/>
      <c r="J50" s="8"/>
      <c r="K50" s="339"/>
      <c r="L50" s="340"/>
      <c r="M50" s="338" t="str">
        <f>+M7</f>
        <v>For the 12 months ended 12/31/2020</v>
      </c>
      <c r="N50" s="6"/>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row>
    <row r="51" spans="1:61" ht="15.75">
      <c r="C51" s="18"/>
      <c r="D51" s="10"/>
      <c r="E51" s="341" t="str">
        <f>+E8</f>
        <v>MidAmerican Central California Transco, LLC</v>
      </c>
      <c r="F51" s="11"/>
      <c r="G51" s="11"/>
      <c r="H51" s="11"/>
      <c r="I51" s="11"/>
      <c r="J51" s="11"/>
      <c r="K51" s="11"/>
      <c r="L51" s="11"/>
      <c r="M51" s="426"/>
      <c r="N51" s="31"/>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row>
    <row r="52" spans="1:61">
      <c r="C52" s="32" t="s">
        <v>10</v>
      </c>
      <c r="D52" s="32" t="s">
        <v>11</v>
      </c>
      <c r="E52" s="32" t="s">
        <v>12</v>
      </c>
      <c r="F52" s="11" t="s">
        <v>8</v>
      </c>
      <c r="G52" s="11"/>
      <c r="H52" s="33" t="s">
        <v>13</v>
      </c>
      <c r="I52" s="11"/>
      <c r="J52" s="34" t="s">
        <v>14</v>
      </c>
      <c r="K52" s="11"/>
      <c r="L52" s="137"/>
      <c r="M52" s="137"/>
      <c r="N52" s="31"/>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row>
    <row r="53" spans="1:61" ht="15.75">
      <c r="C53" s="18"/>
      <c r="D53" s="35" t="s">
        <v>25</v>
      </c>
      <c r="E53" s="11"/>
      <c r="F53" s="11"/>
      <c r="G53" s="11"/>
      <c r="H53" s="4"/>
      <c r="I53" s="11"/>
      <c r="J53" s="36" t="s">
        <v>26</v>
      </c>
      <c r="K53" s="11"/>
      <c r="L53" s="138"/>
      <c r="M53" s="139"/>
      <c r="N53" s="31"/>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row>
    <row r="54" spans="1:61" ht="15.75">
      <c r="A54" s="12" t="s">
        <v>15</v>
      </c>
      <c r="C54" s="18"/>
      <c r="D54" s="37" t="s">
        <v>27</v>
      </c>
      <c r="E54" s="36" t="s">
        <v>28</v>
      </c>
      <c r="F54" s="38"/>
      <c r="G54" s="36" t="s">
        <v>29</v>
      </c>
      <c r="H54" s="26"/>
      <c r="I54" s="38"/>
      <c r="J54" s="39" t="s">
        <v>30</v>
      </c>
      <c r="K54" s="11"/>
      <c r="L54" s="89"/>
      <c r="M54" s="89"/>
      <c r="N54" s="3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row>
    <row r="55" spans="1:61" ht="16.5" thickBot="1">
      <c r="A55" s="15" t="s">
        <v>17</v>
      </c>
      <c r="C55" s="40" t="s">
        <v>31</v>
      </c>
      <c r="D55" s="11"/>
      <c r="E55" s="11"/>
      <c r="F55" s="11"/>
      <c r="G55" s="11"/>
      <c r="H55" s="11"/>
      <c r="I55" s="11"/>
      <c r="J55" s="11"/>
      <c r="K55" s="11"/>
      <c r="L55" s="127"/>
      <c r="M55" s="136"/>
      <c r="N55" s="3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row>
    <row r="56" spans="1:61">
      <c r="A56" s="12"/>
      <c r="C56" s="18"/>
      <c r="D56" s="11"/>
      <c r="E56" s="11"/>
      <c r="F56" s="11"/>
      <c r="G56" s="11"/>
      <c r="H56" s="11"/>
      <c r="I56" s="11"/>
      <c r="J56" s="11"/>
      <c r="K56" s="11"/>
      <c r="L56" s="127"/>
      <c r="M56" s="136"/>
      <c r="N56" s="3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row>
    <row r="57" spans="1:61">
      <c r="A57" s="12"/>
      <c r="C57" s="18" t="s">
        <v>507</v>
      </c>
      <c r="D57" s="11"/>
      <c r="E57" s="11"/>
      <c r="F57" s="11"/>
      <c r="G57" s="11"/>
      <c r="H57" s="11"/>
      <c r="I57" s="11"/>
      <c r="J57" s="11"/>
      <c r="K57" s="11"/>
      <c r="L57" s="127"/>
      <c r="M57" s="136"/>
      <c r="N57" s="3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row>
    <row r="58" spans="1:61">
      <c r="A58" s="12">
        <f>+A38+1</f>
        <v>5</v>
      </c>
      <c r="C58" s="18" t="s">
        <v>44</v>
      </c>
      <c r="D58" s="19" t="s">
        <v>1039</v>
      </c>
      <c r="E58" s="124">
        <f>+'2 - Cost Support '!F20</f>
        <v>0</v>
      </c>
      <c r="F58" s="11"/>
      <c r="G58" s="11" t="s">
        <v>23</v>
      </c>
      <c r="H58" s="627">
        <f>+J$190</f>
        <v>1</v>
      </c>
      <c r="I58" s="11"/>
      <c r="J58" s="175">
        <f>+H58*E58</f>
        <v>0</v>
      </c>
      <c r="K58" s="11"/>
      <c r="L58" s="140"/>
      <c r="M58" s="141"/>
      <c r="N58" s="4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1:61">
      <c r="A59" s="12">
        <f>+A58+1</f>
        <v>6</v>
      </c>
      <c r="C59" s="18" t="s">
        <v>221</v>
      </c>
      <c r="D59" s="19" t="s">
        <v>1040</v>
      </c>
      <c r="E59" s="124">
        <f>+'2 - Cost Support '!F36+'2 - Cost Support '!F52</f>
        <v>0</v>
      </c>
      <c r="F59" s="11"/>
      <c r="G59" s="11" t="s">
        <v>34</v>
      </c>
      <c r="H59" s="627">
        <f>+J$196</f>
        <v>1</v>
      </c>
      <c r="I59" s="11"/>
      <c r="J59" s="175">
        <f>+H59*E59</f>
        <v>0</v>
      </c>
      <c r="K59" s="11"/>
      <c r="L59" s="140"/>
      <c r="M59" s="141"/>
      <c r="N59" s="4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1:61">
      <c r="A60" s="12">
        <f>+A59+1</f>
        <v>7</v>
      </c>
      <c r="C60" s="2" t="str">
        <f>"TOTAL GROSS PLANT (sum lines "&amp;A58&amp;"-"&amp;A59&amp;")"</f>
        <v>TOTAL GROSS PLANT (sum lines 5-6)</v>
      </c>
      <c r="D60" s="19" t="s">
        <v>284</v>
      </c>
      <c r="E60" s="124">
        <f>SUM(E58:E59)</f>
        <v>0</v>
      </c>
      <c r="F60" s="11"/>
      <c r="G60" s="11" t="s">
        <v>35</v>
      </c>
      <c r="H60" s="640">
        <f>IF(J60=0,1,J60/E60)</f>
        <v>1</v>
      </c>
      <c r="I60" s="11"/>
      <c r="J60" s="175">
        <f>SUM(J58:J59)</f>
        <v>0</v>
      </c>
      <c r="K60" s="11"/>
      <c r="L60" s="142"/>
      <c r="M60" s="127"/>
      <c r="N60" s="3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 r="A61" s="12"/>
      <c r="C61" s="18"/>
      <c r="D61" s="19"/>
      <c r="E61" s="124"/>
      <c r="F61" s="11"/>
      <c r="G61" s="11"/>
      <c r="H61" s="641"/>
      <c r="I61" s="11"/>
      <c r="J61" s="175"/>
      <c r="K61" s="11"/>
      <c r="L61" s="143"/>
      <c r="M61" s="136"/>
      <c r="N61" s="3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 r="A62" s="12">
        <f>+A60+1</f>
        <v>8</v>
      </c>
      <c r="C62" s="50" t="s">
        <v>508</v>
      </c>
      <c r="D62" s="19"/>
      <c r="E62" s="124"/>
      <c r="F62" s="11"/>
      <c r="G62" s="11"/>
      <c r="H62" s="627"/>
      <c r="I62" s="11"/>
      <c r="J62" s="175"/>
      <c r="K62" s="11"/>
      <c r="L62" s="127"/>
      <c r="M62" s="136"/>
      <c r="N62" s="3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 r="A63" s="12">
        <f>+A62+1</f>
        <v>9</v>
      </c>
      <c r="C63" s="18" t="s">
        <v>44</v>
      </c>
      <c r="D63" s="19" t="s">
        <v>1041</v>
      </c>
      <c r="E63" s="124">
        <f>+'2 - Cost Support '!F73</f>
        <v>0</v>
      </c>
      <c r="F63" s="11"/>
      <c r="G63" s="11" t="str">
        <f>+G58</f>
        <v>TP</v>
      </c>
      <c r="H63" s="627">
        <f>+J$190</f>
        <v>1</v>
      </c>
      <c r="I63" s="11"/>
      <c r="J63" s="175">
        <f>+H63*E63</f>
        <v>0</v>
      </c>
      <c r="K63" s="11"/>
      <c r="L63" s="145"/>
      <c r="M63" s="144"/>
      <c r="N63" s="4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 r="A64" s="12">
        <f>+A63+1</f>
        <v>10</v>
      </c>
      <c r="C64" s="18" t="s">
        <v>221</v>
      </c>
      <c r="D64" s="19" t="s">
        <v>1042</v>
      </c>
      <c r="E64" s="124">
        <f>+'2 - Cost Support '!F89+'2 - Cost Support '!F105</f>
        <v>0</v>
      </c>
      <c r="F64" s="11"/>
      <c r="G64" s="11" t="str">
        <f>+G59</f>
        <v>W/S</v>
      </c>
      <c r="H64" s="627">
        <f>+J$196</f>
        <v>1</v>
      </c>
      <c r="I64" s="11"/>
      <c r="J64" s="175">
        <f>+H64*E64</f>
        <v>0</v>
      </c>
      <c r="K64" s="11"/>
      <c r="L64" s="145"/>
      <c r="M64" s="144"/>
      <c r="N64" s="4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 r="A65" s="12">
        <f>+A64+1</f>
        <v>11</v>
      </c>
      <c r="C65" s="18" t="str">
        <f>"TOTAL ACCUM. DEPRECIATION (sum lines "&amp;A63&amp;"-"&amp;A64&amp;")"</f>
        <v>TOTAL ACCUM. DEPRECIATION (sum lines 9-10)</v>
      </c>
      <c r="D65" s="11"/>
      <c r="E65" s="124">
        <f>SUM(E63:E64)</f>
        <v>0</v>
      </c>
      <c r="F65" s="11"/>
      <c r="G65" s="11"/>
      <c r="H65" s="627"/>
      <c r="I65" s="11"/>
      <c r="J65" s="175">
        <f>SUM(J63:J64)</f>
        <v>0</v>
      </c>
      <c r="K65" s="11"/>
      <c r="L65" s="127"/>
      <c r="M65" s="127"/>
      <c r="N65" s="3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 r="A66" s="12"/>
      <c r="C66" s="7"/>
      <c r="D66" s="11" t="s">
        <v>8</v>
      </c>
      <c r="E66" s="411"/>
      <c r="F66" s="11"/>
      <c r="G66" s="11"/>
      <c r="H66" s="641"/>
      <c r="I66" s="11"/>
      <c r="J66" s="168"/>
      <c r="K66" s="11"/>
      <c r="L66" s="143"/>
      <c r="M66" s="136"/>
      <c r="N66" s="3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 r="A67" s="12">
        <f>+A65+1</f>
        <v>12</v>
      </c>
      <c r="C67" s="18" t="s">
        <v>36</v>
      </c>
      <c r="D67" s="11"/>
      <c r="E67" s="124"/>
      <c r="F67" s="11"/>
      <c r="G67" s="11"/>
      <c r="H67" s="627"/>
      <c r="I67" s="11"/>
      <c r="J67" s="175"/>
      <c r="K67" s="11"/>
      <c r="L67" s="127"/>
      <c r="M67" s="136"/>
      <c r="N67" s="3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 r="A68" s="12">
        <f>+A67+1</f>
        <v>13</v>
      </c>
      <c r="C68" s="18" t="s">
        <v>33</v>
      </c>
      <c r="D68" s="11" t="str">
        <f>" (line "&amp;A58&amp;"- line "&amp;A63&amp;")"</f>
        <v xml:space="preserve"> (line 5- line 9)</v>
      </c>
      <c r="E68" s="124">
        <f>+E58-E63</f>
        <v>0</v>
      </c>
      <c r="F68" s="11"/>
      <c r="G68" s="11"/>
      <c r="H68" s="627"/>
      <c r="I68" s="11"/>
      <c r="J68" s="175">
        <f>+J58-J63</f>
        <v>0</v>
      </c>
      <c r="K68" s="11"/>
      <c r="L68" s="143"/>
      <c r="M68" s="145"/>
      <c r="N68" s="22"/>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 r="A69" s="12">
        <f>+A68+1</f>
        <v>14</v>
      </c>
      <c r="C69" s="18" t="s">
        <v>106</v>
      </c>
      <c r="D69" s="11" t="str">
        <f>" (line "&amp;A59&amp;"- line "&amp;A64&amp;")"</f>
        <v xml:space="preserve"> (line 6- line 10)</v>
      </c>
      <c r="E69" s="124">
        <f>+E59-E64</f>
        <v>0</v>
      </c>
      <c r="F69" s="11"/>
      <c r="G69" s="11"/>
      <c r="H69" s="641"/>
      <c r="I69" s="11"/>
      <c r="J69" s="175">
        <f>+J59-J64</f>
        <v>0</v>
      </c>
      <c r="K69" s="11"/>
      <c r="L69" s="143"/>
      <c r="M69" s="145"/>
      <c r="N69" s="22"/>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 r="A70" s="12">
        <f>+A69+1</f>
        <v>15</v>
      </c>
      <c r="C70" s="18" t="str">
        <f>"TOTAL NET PLANT (sum lines "&amp;A68&amp;"-"&amp;A69&amp;")"</f>
        <v>TOTAL NET PLANT (sum lines 13-14)</v>
      </c>
      <c r="D70" s="19" t="s">
        <v>285</v>
      </c>
      <c r="E70" s="124">
        <f>SUM(E68:E69)</f>
        <v>0</v>
      </c>
      <c r="F70" s="19"/>
      <c r="G70" s="19" t="s">
        <v>37</v>
      </c>
      <c r="H70" s="640">
        <f>IF(J70=0,1,J70/E70)</f>
        <v>1</v>
      </c>
      <c r="I70" s="11"/>
      <c r="J70" s="175">
        <f>SUM(J68:J69)</f>
        <v>0</v>
      </c>
      <c r="K70" s="11"/>
      <c r="L70" s="127"/>
      <c r="M70" s="127"/>
      <c r="N70" s="3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 r="A71" s="12"/>
      <c r="C71" s="7"/>
      <c r="D71" s="19"/>
      <c r="E71" s="411"/>
      <c r="F71" s="19"/>
      <c r="G71" s="67"/>
      <c r="H71" s="642"/>
      <c r="I71" s="11"/>
      <c r="J71" s="168"/>
      <c r="K71" s="11"/>
      <c r="L71" s="143"/>
      <c r="M71" s="136"/>
      <c r="N71" s="3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c r="A72" s="12">
        <f>+A70+1</f>
        <v>16</v>
      </c>
      <c r="C72" s="2" t="str">
        <f>"ADJUSTMENTS TO RATE BASE       (Note "&amp;A232&amp;")"</f>
        <v>ADJUSTMENTS TO RATE BASE       (Note A)</v>
      </c>
      <c r="D72" s="19"/>
      <c r="E72" s="124"/>
      <c r="F72" s="19"/>
      <c r="G72" s="19"/>
      <c r="H72" s="630"/>
      <c r="I72" s="11"/>
      <c r="J72" s="175"/>
      <c r="K72" s="11"/>
      <c r="L72" s="127"/>
      <c r="M72" s="136"/>
      <c r="N72" s="3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s="67" customFormat="1">
      <c r="A73" s="86">
        <f t="shared" ref="A73:A79" si="1">+A72+1</f>
        <v>17</v>
      </c>
      <c r="C73" s="657" t="s">
        <v>387</v>
      </c>
      <c r="D73" s="19" t="s">
        <v>0</v>
      </c>
      <c r="E73" s="124">
        <f>+'6a- ADIT'!G17</f>
        <v>-2241343</v>
      </c>
      <c r="F73" s="19"/>
      <c r="G73" s="19" t="str">
        <f>+G81</f>
        <v>TP</v>
      </c>
      <c r="H73" s="630">
        <f>+H81</f>
        <v>1</v>
      </c>
      <c r="I73" s="19"/>
      <c r="J73" s="124">
        <f t="shared" ref="J73:J78" si="2">+H73*E73</f>
        <v>-2241343</v>
      </c>
      <c r="K73" s="19"/>
      <c r="L73" s="128"/>
      <c r="M73" s="658"/>
      <c r="N73" s="659"/>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row>
    <row r="74" spans="1:61" s="67" customFormat="1">
      <c r="A74" s="86">
        <f t="shared" si="1"/>
        <v>18</v>
      </c>
      <c r="C74" s="647" t="s">
        <v>299</v>
      </c>
      <c r="D74" s="19" t="s">
        <v>1043</v>
      </c>
      <c r="E74" s="124">
        <f>+'2a - Cost Support'!G5</f>
        <v>0</v>
      </c>
      <c r="F74" s="19"/>
      <c r="G74" s="19" t="s">
        <v>38</v>
      </c>
      <c r="H74" s="630">
        <f>+H$70</f>
        <v>1</v>
      </c>
      <c r="I74" s="19"/>
      <c r="J74" s="161">
        <f t="shared" si="2"/>
        <v>0</v>
      </c>
      <c r="K74" s="19"/>
      <c r="L74" s="128"/>
      <c r="M74" s="658"/>
      <c r="N74" s="659"/>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row>
    <row r="75" spans="1:61" s="67" customFormat="1">
      <c r="A75" s="86">
        <f t="shared" si="1"/>
        <v>19</v>
      </c>
      <c r="C75" s="647" t="s">
        <v>196</v>
      </c>
      <c r="D75" s="19" t="s">
        <v>457</v>
      </c>
      <c r="E75" s="161">
        <f>+'2a - Cost Support'!G43</f>
        <v>0</v>
      </c>
      <c r="F75" s="128"/>
      <c r="G75" s="128" t="s">
        <v>138</v>
      </c>
      <c r="H75" s="643">
        <v>1</v>
      </c>
      <c r="I75" s="128"/>
      <c r="J75" s="161">
        <f>+E75*H75</f>
        <v>0</v>
      </c>
      <c r="K75" s="19"/>
      <c r="L75" s="660"/>
      <c r="M75" s="658"/>
      <c r="N75" s="659"/>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row>
    <row r="76" spans="1:61" s="67" customFormat="1">
      <c r="A76" s="86">
        <f t="shared" si="1"/>
        <v>20</v>
      </c>
      <c r="C76" s="647" t="s">
        <v>388</v>
      </c>
      <c r="D76" s="19" t="s">
        <v>1044</v>
      </c>
      <c r="E76" s="161">
        <f>+'2a - Cost Support'!H65</f>
        <v>0</v>
      </c>
      <c r="F76" s="128"/>
      <c r="G76" s="128" t="str">
        <f>+G77</f>
        <v>DA</v>
      </c>
      <c r="H76" s="643">
        <f>+H77</f>
        <v>1</v>
      </c>
      <c r="I76" s="128"/>
      <c r="J76" s="161">
        <f t="shared" si="2"/>
        <v>0</v>
      </c>
      <c r="K76" s="19"/>
      <c r="L76" s="660"/>
      <c r="M76" s="658"/>
      <c r="N76" s="659"/>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row>
    <row r="77" spans="1:61">
      <c r="A77" s="86">
        <f t="shared" si="1"/>
        <v>21</v>
      </c>
      <c r="B77" s="67"/>
      <c r="C77" s="167" t="s">
        <v>394</v>
      </c>
      <c r="D77" s="19" t="s">
        <v>482</v>
      </c>
      <c r="E77" s="161">
        <f>+'2a - Cost Support'!H143</f>
        <v>1728068.5</v>
      </c>
      <c r="F77" s="128"/>
      <c r="G77" s="128" t="str">
        <f>+G78</f>
        <v>DA</v>
      </c>
      <c r="H77" s="643">
        <f>+H78</f>
        <v>1</v>
      </c>
      <c r="I77" s="128"/>
      <c r="J77" s="161">
        <f t="shared" si="2"/>
        <v>1728068.5</v>
      </c>
      <c r="K77" s="11"/>
      <c r="L77" s="142"/>
      <c r="M77" s="144"/>
      <c r="N77" s="22"/>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row>
    <row r="78" spans="1:61">
      <c r="A78" s="12">
        <f t="shared" si="1"/>
        <v>22</v>
      </c>
      <c r="C78" s="420" t="s">
        <v>227</v>
      </c>
      <c r="D78" s="416" t="s">
        <v>430</v>
      </c>
      <c r="E78" s="417">
        <f>+'2a - Cost Support'!G7</f>
        <v>5042233.6642105263</v>
      </c>
      <c r="F78" s="418"/>
      <c r="G78" s="418" t="s">
        <v>138</v>
      </c>
      <c r="H78" s="628">
        <v>1</v>
      </c>
      <c r="I78" s="418"/>
      <c r="J78" s="419">
        <f t="shared" si="2"/>
        <v>5042233.6642105263</v>
      </c>
      <c r="K78" s="11"/>
      <c r="L78" s="128"/>
      <c r="M78" s="144"/>
      <c r="N78" s="22"/>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row>
    <row r="79" spans="1:61">
      <c r="A79" s="12">
        <f t="shared" si="1"/>
        <v>23</v>
      </c>
      <c r="B79" s="7"/>
      <c r="C79" s="412" t="str">
        <f>"TOTAL ADJUSTMENTS  (sum lines "&amp;A73&amp;"-"&amp;A78&amp;")"</f>
        <v>TOTAL ADJUSTMENTS  (sum lines 17-22)</v>
      </c>
      <c r="D79" s="19"/>
      <c r="E79" s="124">
        <f>SUM(E73:E78)</f>
        <v>4528959.1642105263</v>
      </c>
      <c r="F79" s="11"/>
      <c r="G79" s="11"/>
      <c r="H79" s="627"/>
      <c r="I79" s="11"/>
      <c r="J79" s="175">
        <f>SUM(J73:J78)</f>
        <v>4528959.1642105263</v>
      </c>
      <c r="K79" s="11"/>
      <c r="L79" s="128"/>
      <c r="M79" s="127"/>
      <c r="N79" s="3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row>
    <row r="80" spans="1:61">
      <c r="A80" s="12"/>
      <c r="C80" s="7"/>
      <c r="D80" s="19"/>
      <c r="E80" s="411"/>
      <c r="F80" s="11"/>
      <c r="G80" s="11"/>
      <c r="H80" s="641"/>
      <c r="I80" s="11"/>
      <c r="J80" s="168"/>
      <c r="K80" s="11"/>
      <c r="L80" s="150"/>
      <c r="M80" s="136"/>
      <c r="N80" s="3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 r="A81" s="12">
        <f>+A79+1</f>
        <v>24</v>
      </c>
      <c r="C81" s="2" t="s">
        <v>222</v>
      </c>
      <c r="D81" s="19" t="s">
        <v>1045</v>
      </c>
      <c r="E81" s="124">
        <f>+'2a - Cost Support'!I53</f>
        <v>0</v>
      </c>
      <c r="F81" s="11"/>
      <c r="G81" s="11" t="str">
        <f>+G63</f>
        <v>TP</v>
      </c>
      <c r="H81" s="627">
        <f>+J$190</f>
        <v>1</v>
      </c>
      <c r="I81" s="11"/>
      <c r="J81" s="175">
        <f>+H81*E81</f>
        <v>0</v>
      </c>
      <c r="K81" s="11"/>
      <c r="L81" s="128"/>
      <c r="M81" s="136"/>
      <c r="N81" s="3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 r="A82" s="12"/>
      <c r="C82" s="18"/>
      <c r="D82" s="19"/>
      <c r="E82" s="124"/>
      <c r="F82" s="11"/>
      <c r="G82" s="11"/>
      <c r="H82" s="627"/>
      <c r="I82" s="11"/>
      <c r="J82" s="175"/>
      <c r="K82" s="11"/>
      <c r="L82" s="128"/>
      <c r="M82" s="136"/>
      <c r="N82" s="3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 r="A83" s="12">
        <f>+A81+1</f>
        <v>25</v>
      </c>
      <c r="C83" s="18" t="str">
        <f>"WORKING CAPITAL  (Note "&amp;A236&amp;")"</f>
        <v>WORKING CAPITAL  (Note C)</v>
      </c>
      <c r="D83" s="19" t="s">
        <v>8</v>
      </c>
      <c r="E83" s="124"/>
      <c r="F83" s="11"/>
      <c r="G83" s="11"/>
      <c r="H83" s="627"/>
      <c r="I83" s="11"/>
      <c r="J83" s="175"/>
      <c r="K83" s="11"/>
      <c r="L83" s="128"/>
      <c r="M83" s="136"/>
      <c r="N83" s="3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c r="A84" s="12">
        <f>+A83+1</f>
        <v>26</v>
      </c>
      <c r="C84" s="18" t="s">
        <v>40</v>
      </c>
      <c r="D84" s="647" t="s">
        <v>760</v>
      </c>
      <c r="E84" s="124">
        <f>+E122/8</f>
        <v>81805.147817725636</v>
      </c>
      <c r="F84" s="11"/>
      <c r="G84" s="11"/>
      <c r="H84" s="641"/>
      <c r="I84" s="11"/>
      <c r="J84" s="124">
        <f>+J122/8</f>
        <v>81805.147817725636</v>
      </c>
      <c r="K84" s="11"/>
      <c r="L84" s="142"/>
      <c r="M84" s="144"/>
      <c r="N84" s="3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 r="A85" s="12">
        <f>+A84+1</f>
        <v>27</v>
      </c>
      <c r="C85" s="18" t="str">
        <f>"  Materials &amp; Supplies  (Note "&amp;A235&amp;")"</f>
        <v xml:space="preserve">  Materials &amp; Supplies  (Note B)</v>
      </c>
      <c r="D85" s="19" t="s">
        <v>1046</v>
      </c>
      <c r="E85" s="124">
        <f>+'2a - Cost Support'!H133</f>
        <v>0</v>
      </c>
      <c r="F85" s="11"/>
      <c r="G85" s="11" t="str">
        <f>+G81</f>
        <v>TP</v>
      </c>
      <c r="H85" s="627">
        <f>+H81</f>
        <v>1</v>
      </c>
      <c r="I85" s="11"/>
      <c r="J85" s="175">
        <f>+H85*E85</f>
        <v>0</v>
      </c>
      <c r="K85" s="11"/>
      <c r="L85" s="150"/>
      <c r="M85" s="146"/>
      <c r="N85" s="3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 r="A86" s="12">
        <f>+A85+1</f>
        <v>28</v>
      </c>
      <c r="C86" s="421" t="str">
        <f xml:space="preserve">  "Prepayments (Account 165 - Note "&amp;A236&amp;")"</f>
        <v>Prepayments (Account 165 - Note C)</v>
      </c>
      <c r="D86" s="416" t="s">
        <v>1047</v>
      </c>
      <c r="E86" s="417">
        <f>+'2a - Cost Support'!F26</f>
        <v>0</v>
      </c>
      <c r="F86" s="418"/>
      <c r="G86" s="418" t="s">
        <v>42</v>
      </c>
      <c r="H86" s="631">
        <f>+H$60</f>
        <v>1</v>
      </c>
      <c r="I86" s="418"/>
      <c r="J86" s="419">
        <f>+H86*E86</f>
        <v>0</v>
      </c>
      <c r="K86" s="11"/>
      <c r="L86" s="128"/>
      <c r="M86" s="127"/>
      <c r="N86" s="3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 r="A87" s="12">
        <f>+A86+1</f>
        <v>29</v>
      </c>
      <c r="C87" s="18" t="str">
        <f>"TOTAL WORKING CAPITAL (sum lines "&amp;A84&amp;"-"&amp;A86&amp;")"</f>
        <v>TOTAL WORKING CAPITAL (sum lines 26-28)</v>
      </c>
      <c r="D87" s="10"/>
      <c r="E87" s="175">
        <f>SUM(E84:E86)</f>
        <v>81805.147817725636</v>
      </c>
      <c r="F87" s="10"/>
      <c r="G87" s="10"/>
      <c r="H87" s="10"/>
      <c r="I87" s="10"/>
      <c r="J87" s="175">
        <f>SUM(J84:J86)</f>
        <v>81805.147817725636</v>
      </c>
      <c r="K87" s="11"/>
      <c r="L87" s="127"/>
      <c r="M87" s="127"/>
      <c r="N87" s="3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ht="15.75" thickBot="1">
      <c r="A88" s="12"/>
      <c r="D88" s="11"/>
      <c r="E88" s="169"/>
      <c r="F88" s="11"/>
      <c r="G88" s="11"/>
      <c r="H88" s="11"/>
      <c r="I88" s="11"/>
      <c r="J88" s="169"/>
      <c r="K88" s="11"/>
      <c r="L88" s="125"/>
      <c r="M88" s="125"/>
      <c r="N88" s="3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ht="15.75" thickBot="1">
      <c r="A89" s="12">
        <f>+A87+1</f>
        <v>30</v>
      </c>
      <c r="C89" s="18" t="str">
        <f>"RATE BASE  (sum lines "&amp;A70&amp;", "&amp;A79&amp;", "&amp;A81&amp;", &amp; "&amp;A87&amp;")"</f>
        <v>RATE BASE  (sum lines 15, 23, 24, &amp; 29)</v>
      </c>
      <c r="D89" s="11"/>
      <c r="E89" s="176">
        <f>+E70+E79+E81+E87</f>
        <v>4610764.3120282516</v>
      </c>
      <c r="F89" s="11"/>
      <c r="G89" s="11"/>
      <c r="H89" s="42"/>
      <c r="I89" s="11"/>
      <c r="J89" s="176">
        <f>+J70+J79+J81+J87</f>
        <v>4610764.3120282516</v>
      </c>
      <c r="K89" s="11"/>
      <c r="L89" s="127"/>
      <c r="M89" s="127"/>
      <c r="N89" s="3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ht="15.75" thickTop="1">
      <c r="A90" s="12"/>
      <c r="C90" s="18"/>
      <c r="D90" s="11"/>
      <c r="E90" s="11"/>
      <c r="F90" s="11"/>
      <c r="G90" s="11"/>
      <c r="H90" s="11"/>
      <c r="I90" s="11"/>
      <c r="J90" s="175"/>
      <c r="K90" s="11"/>
      <c r="L90" s="127"/>
      <c r="M90" s="136"/>
      <c r="N90" s="3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c r="A91" s="12"/>
      <c r="C91" s="111"/>
      <c r="D91" s="11"/>
      <c r="E91" s="11"/>
      <c r="F91" s="11"/>
      <c r="G91" s="11"/>
      <c r="H91" s="11"/>
      <c r="I91" s="11"/>
      <c r="J91" s="175"/>
      <c r="K91" s="11"/>
      <c r="L91" s="127"/>
      <c r="M91" s="136"/>
      <c r="N91" s="3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c r="A92" s="12"/>
      <c r="C92" s="112"/>
      <c r="D92" s="11"/>
      <c r="E92" s="11"/>
      <c r="F92" s="11"/>
      <c r="G92" s="11"/>
      <c r="H92" s="11"/>
      <c r="I92" s="11"/>
      <c r="J92" s="175"/>
      <c r="K92" s="11"/>
      <c r="L92" s="127"/>
      <c r="M92" s="136"/>
      <c r="N92" s="3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c r="A93" s="12"/>
      <c r="C93" s="111"/>
      <c r="D93" s="11"/>
      <c r="E93" s="11"/>
      <c r="F93" s="11"/>
      <c r="G93" s="11"/>
      <c r="H93" s="11"/>
      <c r="I93" s="11"/>
      <c r="J93" s="175"/>
      <c r="K93" s="11"/>
      <c r="L93" s="127"/>
      <c r="M93" s="136"/>
      <c r="N93" s="3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 r="A94" s="12"/>
      <c r="C94" s="112"/>
      <c r="D94" s="11"/>
      <c r="E94" s="11"/>
      <c r="F94" s="11"/>
      <c r="G94" s="11"/>
      <c r="H94" s="11"/>
      <c r="I94" s="11"/>
      <c r="J94" s="175"/>
      <c r="K94" s="11"/>
      <c r="L94" s="11"/>
      <c r="M94" s="30"/>
      <c r="N94" s="3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 r="A95" s="12"/>
      <c r="C95" s="112"/>
      <c r="D95" s="11"/>
      <c r="E95" s="11"/>
      <c r="F95" s="11"/>
      <c r="G95" s="11"/>
      <c r="H95" s="11"/>
      <c r="I95" s="11"/>
      <c r="J95" s="175"/>
      <c r="K95" s="11"/>
      <c r="L95" s="11"/>
      <c r="M95" s="30"/>
      <c r="N95" s="3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 r="A96" s="12"/>
      <c r="C96" s="7"/>
      <c r="D96" s="11"/>
      <c r="E96" s="11"/>
      <c r="F96" s="11"/>
      <c r="G96" s="11"/>
      <c r="H96" s="11"/>
      <c r="I96" s="11"/>
      <c r="J96" s="175"/>
      <c r="K96" s="11"/>
      <c r="L96" s="11"/>
      <c r="M96" s="30"/>
      <c r="N96" s="3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1">
      <c r="A97" s="12"/>
      <c r="C97" s="29"/>
      <c r="D97" s="11"/>
      <c r="E97" s="11"/>
      <c r="F97" s="11"/>
      <c r="G97" s="11"/>
      <c r="H97" s="11"/>
      <c r="I97" s="11"/>
      <c r="J97" s="175"/>
      <c r="K97" s="11"/>
      <c r="L97" s="11"/>
      <c r="M97" s="30"/>
      <c r="N97" s="3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1">
      <c r="A98" s="12"/>
      <c r="C98" s="44"/>
      <c r="D98" s="11"/>
      <c r="E98" s="11"/>
      <c r="F98" s="11"/>
      <c r="G98" s="11"/>
      <c r="H98" s="11"/>
      <c r="I98" s="11"/>
      <c r="J98" s="175"/>
      <c r="K98" s="11"/>
      <c r="L98" s="11"/>
      <c r="M98" s="30"/>
      <c r="N98" s="3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1">
      <c r="A99" s="12"/>
      <c r="C99" s="44"/>
      <c r="D99" s="11"/>
      <c r="E99" s="11"/>
      <c r="F99" s="11"/>
      <c r="G99" s="11"/>
      <c r="H99" s="11"/>
      <c r="I99" s="11"/>
      <c r="J99" s="175"/>
      <c r="K99" s="11"/>
      <c r="L99" s="11"/>
      <c r="M99" s="30"/>
      <c r="N99" s="3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1">
      <c r="A100" s="12"/>
      <c r="C100" s="18"/>
      <c r="D100" s="11"/>
      <c r="E100" s="11"/>
      <c r="F100" s="11"/>
      <c r="G100" s="11"/>
      <c r="H100" s="11"/>
      <c r="I100" s="11"/>
      <c r="J100" s="175"/>
      <c r="K100" s="11"/>
      <c r="L100" s="11"/>
      <c r="M100" s="30"/>
      <c r="N100" s="3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row>
    <row r="101" spans="1:61">
      <c r="A101" s="12"/>
      <c r="C101" s="2"/>
      <c r="D101" s="2"/>
      <c r="E101" s="3"/>
      <c r="F101" s="2"/>
      <c r="G101" s="2"/>
      <c r="H101" s="2"/>
      <c r="I101" s="2"/>
      <c r="J101" s="177"/>
      <c r="K101" s="4"/>
      <c r="L101" s="4"/>
      <c r="M101" s="5" t="s">
        <v>497</v>
      </c>
      <c r="N101" s="6"/>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row>
    <row r="102" spans="1:61">
      <c r="A102" s="12"/>
      <c r="C102" s="2"/>
      <c r="D102" s="2"/>
      <c r="E102" s="3"/>
      <c r="F102" s="2"/>
      <c r="G102" s="2"/>
      <c r="H102" s="2"/>
      <c r="I102" s="8"/>
      <c r="J102" s="178"/>
      <c r="K102" s="5"/>
      <c r="L102" s="5"/>
      <c r="M102" s="9" t="s">
        <v>436</v>
      </c>
      <c r="N102" s="6"/>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row>
    <row r="103" spans="1:61">
      <c r="A103" s="12"/>
      <c r="C103" s="2"/>
      <c r="D103" s="2"/>
      <c r="E103" s="3"/>
      <c r="F103" s="2"/>
      <c r="G103" s="2"/>
      <c r="H103" s="2"/>
      <c r="I103" s="8"/>
      <c r="J103" s="179"/>
      <c r="K103" s="9"/>
      <c r="L103" s="9"/>
      <c r="M103" s="9"/>
      <c r="N103" s="6"/>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row>
    <row r="104" spans="1:61">
      <c r="A104" s="12"/>
      <c r="C104" s="2"/>
      <c r="D104" s="2"/>
      <c r="E104" s="3"/>
      <c r="F104" s="2"/>
      <c r="G104" s="2"/>
      <c r="H104" s="2"/>
      <c r="I104" s="8"/>
      <c r="J104" s="180"/>
      <c r="K104" s="10"/>
      <c r="L104" s="9"/>
      <c r="M104" s="9"/>
      <c r="N104" s="6"/>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row>
    <row r="105" spans="1:61">
      <c r="A105" s="12"/>
      <c r="C105" s="2"/>
      <c r="D105" s="2"/>
      <c r="E105" s="3"/>
      <c r="F105" s="2"/>
      <c r="G105" s="2"/>
      <c r="H105" s="2"/>
      <c r="I105" s="8"/>
      <c r="J105" s="180"/>
      <c r="K105" s="10"/>
      <c r="L105" s="9"/>
      <c r="M105" s="6"/>
      <c r="N105" s="6"/>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1">
      <c r="A106" s="12"/>
      <c r="C106" s="2" t="s">
        <v>7</v>
      </c>
      <c r="D106" s="116"/>
      <c r="E106" s="116" t="s">
        <v>107</v>
      </c>
      <c r="F106" s="2"/>
      <c r="G106" s="2"/>
      <c r="H106" s="2"/>
      <c r="I106" s="8"/>
      <c r="J106" s="168"/>
      <c r="K106" s="10"/>
      <c r="L106" s="10"/>
      <c r="M106" s="6"/>
      <c r="N106" s="6"/>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1">
      <c r="A107" s="12"/>
      <c r="C107" s="2"/>
      <c r="D107" s="11" t="s">
        <v>8</v>
      </c>
      <c r="E107" s="11" t="s">
        <v>9</v>
      </c>
      <c r="F107" s="11"/>
      <c r="G107" s="11"/>
      <c r="H107" s="11"/>
      <c r="I107" s="8"/>
      <c r="J107" s="180"/>
      <c r="K107" s="10"/>
      <c r="L107" s="10"/>
      <c r="M107" s="6"/>
      <c r="N107" s="6"/>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1">
      <c r="A108" s="12"/>
      <c r="C108" s="2"/>
      <c r="D108" s="11"/>
      <c r="E108" s="11"/>
      <c r="F108" s="11"/>
      <c r="G108" s="11"/>
      <c r="H108" s="11"/>
      <c r="I108" s="8"/>
      <c r="J108" s="180"/>
      <c r="K108" s="339"/>
      <c r="L108" s="340"/>
      <c r="M108" s="338" t="str">
        <f>+M50</f>
        <v>For the 12 months ended 12/31/2020</v>
      </c>
      <c r="N108" s="6"/>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1" ht="15.75">
      <c r="A109" s="12"/>
      <c r="D109" s="26"/>
      <c r="E109" s="341" t="str">
        <f>+E51</f>
        <v>MidAmerican Central California Transco, LLC</v>
      </c>
      <c r="F109" s="26"/>
      <c r="G109" s="26"/>
      <c r="H109" s="26"/>
      <c r="I109" s="26"/>
      <c r="J109" s="175"/>
      <c r="K109" s="11"/>
      <c r="L109" s="11"/>
      <c r="M109" s="426"/>
      <c r="N109" s="3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1">
      <c r="A110" s="12"/>
      <c r="C110" s="32" t="s">
        <v>10</v>
      </c>
      <c r="D110" s="32" t="s">
        <v>11</v>
      </c>
      <c r="E110" s="32" t="s">
        <v>12</v>
      </c>
      <c r="F110" s="11" t="s">
        <v>8</v>
      </c>
      <c r="G110" s="11"/>
      <c r="H110" s="33" t="s">
        <v>13</v>
      </c>
      <c r="I110" s="11"/>
      <c r="J110" s="181" t="s">
        <v>14</v>
      </c>
      <c r="K110" s="11"/>
      <c r="L110" s="137"/>
      <c r="M110" s="137"/>
      <c r="N110" s="3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row>
    <row r="111" spans="1:61" ht="15.75">
      <c r="A111" s="12"/>
      <c r="C111" s="32"/>
      <c r="D111" s="45"/>
      <c r="E111" s="45"/>
      <c r="F111" s="45"/>
      <c r="G111" s="45"/>
      <c r="H111" s="45"/>
      <c r="I111" s="45"/>
      <c r="J111" s="182"/>
      <c r="K111" s="45"/>
      <c r="L111" s="152"/>
      <c r="M111" s="153"/>
      <c r="N111" s="3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row>
    <row r="112" spans="1:61" ht="15.75">
      <c r="A112" s="12"/>
      <c r="C112" s="18"/>
      <c r="D112" s="35" t="s">
        <v>25</v>
      </c>
      <c r="E112" s="11"/>
      <c r="F112" s="11"/>
      <c r="G112" s="11"/>
      <c r="H112" s="4"/>
      <c r="I112" s="11"/>
      <c r="J112" s="183" t="s">
        <v>26</v>
      </c>
      <c r="K112" s="11"/>
      <c r="L112" s="138"/>
      <c r="M112" s="139"/>
      <c r="N112" s="3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row>
    <row r="113" spans="1:61" ht="15.75">
      <c r="A113" s="12"/>
      <c r="C113" s="18"/>
      <c r="D113" s="37" t="s">
        <v>27</v>
      </c>
      <c r="E113" s="36" t="s">
        <v>28</v>
      </c>
      <c r="F113" s="38"/>
      <c r="G113" s="36" t="s">
        <v>29</v>
      </c>
      <c r="H113" s="26"/>
      <c r="I113" s="38"/>
      <c r="J113" s="184" t="s">
        <v>30</v>
      </c>
      <c r="K113" s="11"/>
      <c r="L113" s="89"/>
      <c r="M113" s="89"/>
      <c r="N113" s="3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row>
    <row r="114" spans="1:61" ht="15.75">
      <c r="A114" s="12"/>
      <c r="C114" s="18"/>
      <c r="D114" s="11"/>
      <c r="E114" s="46"/>
      <c r="F114" s="47"/>
      <c r="G114" s="48"/>
      <c r="H114" s="26"/>
      <c r="I114" s="47"/>
      <c r="J114" s="168"/>
      <c r="K114" s="7"/>
      <c r="L114" s="126"/>
      <c r="M114" s="126"/>
      <c r="N114" s="3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row>
    <row r="115" spans="1:61">
      <c r="A115" s="12">
        <f>+A89+1</f>
        <v>31</v>
      </c>
      <c r="C115" s="18" t="s">
        <v>43</v>
      </c>
      <c r="D115" s="11"/>
      <c r="E115" s="11"/>
      <c r="I115" s="11"/>
      <c r="J115" s="168"/>
      <c r="K115" s="7"/>
      <c r="L115" s="126"/>
      <c r="M115" s="126"/>
      <c r="N115" s="3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row>
    <row r="116" spans="1:61">
      <c r="A116" s="12">
        <f t="shared" ref="A116:A121" si="3">+A115+1</f>
        <v>32</v>
      </c>
      <c r="C116" s="18" t="s">
        <v>44</v>
      </c>
      <c r="D116" s="11" t="s">
        <v>488</v>
      </c>
      <c r="E116" s="186">
        <f>'WP1 - O&amp;M detail'!I33</f>
        <v>493231.06</v>
      </c>
      <c r="F116" s="11"/>
      <c r="G116" s="11" t="str">
        <f>+I190</f>
        <v>TP=</v>
      </c>
      <c r="H116" s="627">
        <f>+J190</f>
        <v>1</v>
      </c>
      <c r="I116" s="11"/>
      <c r="J116" s="168">
        <f t="shared" ref="J116:J121" si="4">+H116*E116</f>
        <v>493231.06</v>
      </c>
      <c r="K116" s="11"/>
      <c r="L116" s="127"/>
      <c r="M116" s="127"/>
      <c r="N116" s="49"/>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row>
    <row r="117" spans="1:61">
      <c r="A117" s="12">
        <f t="shared" si="3"/>
        <v>33</v>
      </c>
      <c r="C117" s="50" t="s">
        <v>317</v>
      </c>
      <c r="D117" s="19" t="s">
        <v>444</v>
      </c>
      <c r="E117" s="186">
        <v>0</v>
      </c>
      <c r="F117" s="11"/>
      <c r="G117" s="11" t="str">
        <f>+G116</f>
        <v>TP=</v>
      </c>
      <c r="H117" s="627">
        <f>+H116</f>
        <v>1</v>
      </c>
      <c r="I117" s="11"/>
      <c r="J117" s="168">
        <f t="shared" si="4"/>
        <v>0</v>
      </c>
      <c r="K117" s="11"/>
      <c r="L117" s="127"/>
      <c r="M117" s="127"/>
      <c r="N117" s="49"/>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row>
    <row r="118" spans="1:61">
      <c r="A118" s="12">
        <f t="shared" si="3"/>
        <v>34</v>
      </c>
      <c r="C118" s="50" t="s">
        <v>45</v>
      </c>
      <c r="D118" s="19" t="s">
        <v>277</v>
      </c>
      <c r="E118" s="186">
        <f>'WP2 - A&amp;G detail'!I25</f>
        <v>161267</v>
      </c>
      <c r="F118" s="11"/>
      <c r="G118" s="11" t="s">
        <v>34</v>
      </c>
      <c r="H118" s="627">
        <f>+J$196</f>
        <v>1</v>
      </c>
      <c r="I118" s="11"/>
      <c r="J118" s="168">
        <f t="shared" si="4"/>
        <v>161267</v>
      </c>
      <c r="K118" s="11"/>
      <c r="L118" s="127"/>
      <c r="M118" s="127"/>
      <c r="N118" s="3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row>
    <row r="119" spans="1:61">
      <c r="A119" s="12">
        <f t="shared" si="3"/>
        <v>35</v>
      </c>
      <c r="C119" s="50" t="s">
        <v>270</v>
      </c>
      <c r="D119" s="50" t="str">
        <f>" (Note "&amp;A239&amp;" &amp; Attach 2)"</f>
        <v xml:space="preserve"> (Note D &amp; Attach 2)</v>
      </c>
      <c r="E119" s="124">
        <f>+'2a - Cost Support'!G76+'2a - Cost Support'!G89+'2a - Cost Support'!I104</f>
        <v>0</v>
      </c>
      <c r="F119" s="11"/>
      <c r="G119" s="11" t="s">
        <v>138</v>
      </c>
      <c r="H119" s="627">
        <f>+H127</f>
        <v>1</v>
      </c>
      <c r="I119" s="11"/>
      <c r="J119" s="168">
        <f t="shared" si="4"/>
        <v>0</v>
      </c>
      <c r="K119" s="11"/>
      <c r="L119" s="127"/>
      <c r="M119" s="127"/>
      <c r="N119" s="3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row>
    <row r="120" spans="1:61">
      <c r="A120" s="12">
        <f t="shared" si="3"/>
        <v>36</v>
      </c>
      <c r="C120" s="50" t="s">
        <v>273</v>
      </c>
      <c r="D120" s="50" t="str">
        <f>" (Note "&amp;A239&amp;" &amp; Attach 2)"</f>
        <v xml:space="preserve"> (Note D &amp; Attach 2)</v>
      </c>
      <c r="E120" s="124">
        <f>+'2a - Cost Support'!H89</f>
        <v>0</v>
      </c>
      <c r="F120" s="11"/>
      <c r="G120" s="51" t="str">
        <f>+G116</f>
        <v>TP=</v>
      </c>
      <c r="H120" s="627">
        <f>+H116</f>
        <v>1</v>
      </c>
      <c r="I120" s="11"/>
      <c r="J120" s="168">
        <f t="shared" si="4"/>
        <v>0</v>
      </c>
      <c r="K120" s="11"/>
      <c r="L120" s="127"/>
      <c r="M120" s="127"/>
      <c r="N120" s="3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row>
    <row r="121" spans="1:61">
      <c r="A121" s="12">
        <f t="shared" si="3"/>
        <v>37</v>
      </c>
      <c r="C121" s="50" t="s">
        <v>246</v>
      </c>
      <c r="D121" s="19" t="s">
        <v>1048</v>
      </c>
      <c r="E121" s="124">
        <f>+'2a - Cost Support'!E183</f>
        <v>-56.877458194939322</v>
      </c>
      <c r="F121" s="11"/>
      <c r="G121" s="51" t="str">
        <f>+G117</f>
        <v>TP=</v>
      </c>
      <c r="H121" s="627">
        <f>+H116</f>
        <v>1</v>
      </c>
      <c r="I121" s="11"/>
      <c r="J121" s="168">
        <f t="shared" si="4"/>
        <v>-56.877458194939322</v>
      </c>
      <c r="K121" s="11"/>
      <c r="L121" s="127"/>
      <c r="M121" s="127"/>
      <c r="N121" s="3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row>
    <row r="122" spans="1:61">
      <c r="A122" s="12">
        <f>+A121+1</f>
        <v>38</v>
      </c>
      <c r="C122" s="50" t="str">
        <f>"TOTAL O&amp;M and A&amp;G  (sum lines "&amp;A116&amp;", "&amp;A118&amp;", "&amp;A120&amp;", "&amp;A121&amp;" less lines "&amp;A117&amp;" &amp; "&amp;A119&amp;")"</f>
        <v>TOTAL O&amp;M and A&amp;G  (sum lines 32, 34, 36, 37 less lines 33 &amp; 35)</v>
      </c>
      <c r="D122" s="19"/>
      <c r="E122" s="175">
        <f>+E116+E118+E120+E121-E117-E119</f>
        <v>654441.18254180509</v>
      </c>
      <c r="F122" s="11"/>
      <c r="G122" s="11"/>
      <c r="H122" s="11"/>
      <c r="I122" s="11"/>
      <c r="J122" s="175">
        <f>+J116+J118+J120+J121-J117-J119</f>
        <v>654441.18254180509</v>
      </c>
      <c r="K122" s="11"/>
      <c r="L122" s="127"/>
      <c r="M122" s="127"/>
      <c r="N122" s="3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c r="A123" s="12"/>
      <c r="D123" s="11"/>
      <c r="E123" s="168"/>
      <c r="F123" s="11"/>
      <c r="G123" s="11"/>
      <c r="H123" s="11"/>
      <c r="I123" s="11"/>
      <c r="J123" s="168"/>
      <c r="K123" s="11"/>
      <c r="L123" s="127"/>
      <c r="M123" s="127"/>
      <c r="N123" s="3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c r="A124" s="12">
        <f>+A122+1</f>
        <v>39</v>
      </c>
      <c r="C124" s="18" t="s">
        <v>506</v>
      </c>
      <c r="D124" s="11"/>
      <c r="E124" s="175"/>
      <c r="F124" s="11"/>
      <c r="G124" s="11"/>
      <c r="H124" s="11"/>
      <c r="I124" s="11"/>
      <c r="J124" s="175"/>
      <c r="K124" s="11"/>
      <c r="L124" s="127"/>
      <c r="M124" s="127"/>
      <c r="N124" s="3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c r="A125" s="12">
        <f>+A124+1</f>
        <v>40</v>
      </c>
      <c r="C125" s="18" t="str">
        <f>+C116</f>
        <v xml:space="preserve">  Transmission </v>
      </c>
      <c r="D125" s="19" t="s">
        <v>997</v>
      </c>
      <c r="E125" s="186">
        <v>0</v>
      </c>
      <c r="F125" s="11"/>
      <c r="G125" s="11" t="s">
        <v>23</v>
      </c>
      <c r="H125" s="627">
        <f>+J$190</f>
        <v>1</v>
      </c>
      <c r="I125" s="11"/>
      <c r="J125" s="168">
        <f>+H125*E125</f>
        <v>0</v>
      </c>
      <c r="K125" s="11"/>
      <c r="L125" s="127"/>
      <c r="M125" s="127"/>
      <c r="N125" s="49"/>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c r="A126" s="12">
        <f>+A125+1</f>
        <v>41</v>
      </c>
      <c r="C126" s="18" t="s">
        <v>238</v>
      </c>
      <c r="D126" s="19" t="s">
        <v>998</v>
      </c>
      <c r="E126" s="186">
        <v>0</v>
      </c>
      <c r="F126" s="11"/>
      <c r="G126" s="11" t="s">
        <v>34</v>
      </c>
      <c r="H126" s="627">
        <f>+J$196</f>
        <v>1</v>
      </c>
      <c r="I126" s="11"/>
      <c r="J126" s="168">
        <f>+H126*E126</f>
        <v>0</v>
      </c>
      <c r="K126" s="11"/>
      <c r="L126" s="127"/>
      <c r="M126" s="127"/>
      <c r="N126" s="30"/>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c r="A127" s="12">
        <f>+A126+1</f>
        <v>42</v>
      </c>
      <c r="C127" s="415" t="s">
        <v>229</v>
      </c>
      <c r="D127" s="416" t="s">
        <v>430</v>
      </c>
      <c r="E127" s="417">
        <f>+'2a - Cost Support'!F9</f>
        <v>1440638.1894736844</v>
      </c>
      <c r="F127" s="418"/>
      <c r="G127" s="418" t="s">
        <v>138</v>
      </c>
      <c r="H127" s="628">
        <v>1</v>
      </c>
      <c r="I127" s="418"/>
      <c r="J127" s="422">
        <f>+H127*E127</f>
        <v>1440638.1894736844</v>
      </c>
      <c r="K127" s="11"/>
      <c r="L127" s="127"/>
      <c r="M127" s="127"/>
      <c r="N127" s="30"/>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c r="A128" s="12">
        <f>+A127+1</f>
        <v>43</v>
      </c>
      <c r="B128" s="7"/>
      <c r="C128" s="412" t="str">
        <f>"TOTAL DEPRECIATION (Sum lines "&amp;A125&amp;"-"&amp;A127&amp;")"</f>
        <v>TOTAL DEPRECIATION (Sum lines 40-42)</v>
      </c>
      <c r="D128" s="11"/>
      <c r="E128" s="175">
        <f>SUM(E125:E127)</f>
        <v>1440638.1894736844</v>
      </c>
      <c r="F128" s="11"/>
      <c r="G128" s="11"/>
      <c r="H128" s="627"/>
      <c r="I128" s="11"/>
      <c r="J128" s="175">
        <f>SUM(J125:J127)</f>
        <v>1440638.1894736844</v>
      </c>
      <c r="K128" s="11"/>
      <c r="L128" s="127"/>
      <c r="M128" s="127"/>
      <c r="N128" s="3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c r="A129" s="12"/>
      <c r="C129" s="18"/>
      <c r="D129" s="11"/>
      <c r="E129" s="175"/>
      <c r="F129" s="11"/>
      <c r="G129" s="11"/>
      <c r="H129" s="627"/>
      <c r="I129" s="11"/>
      <c r="J129" s="175"/>
      <c r="K129" s="11"/>
      <c r="L129" s="127"/>
      <c r="M129" s="127"/>
      <c r="N129" s="3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c r="A130" s="12">
        <f>+A128+1</f>
        <v>44</v>
      </c>
      <c r="C130" s="18" t="str">
        <f>"TAXES OTHER THAN INCOME TAXES  (Note "&amp;A243&amp;")"</f>
        <v>TAXES OTHER THAN INCOME TAXES  (Note E)</v>
      </c>
      <c r="D130" s="26"/>
      <c r="E130" s="175"/>
      <c r="F130" s="11"/>
      <c r="G130" s="11"/>
      <c r="H130" s="627"/>
      <c r="I130" s="11"/>
      <c r="J130" s="175"/>
      <c r="K130" s="11"/>
      <c r="L130" s="127"/>
      <c r="M130" s="127"/>
      <c r="N130" s="3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c r="A131" s="12">
        <f t="shared" ref="A131:A137" si="5">+A130+1</f>
        <v>45</v>
      </c>
      <c r="C131" s="18" t="s">
        <v>46</v>
      </c>
      <c r="D131" s="26"/>
      <c r="E131" s="175"/>
      <c r="F131" s="11"/>
      <c r="G131" s="11"/>
      <c r="H131" s="627"/>
      <c r="I131" s="11"/>
      <c r="J131" s="175"/>
      <c r="K131" s="11"/>
      <c r="L131" s="127"/>
      <c r="M131" s="127"/>
      <c r="N131" s="3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c r="A132" s="12">
        <f t="shared" si="5"/>
        <v>46</v>
      </c>
      <c r="C132" s="18" t="s">
        <v>47</v>
      </c>
      <c r="D132" s="52" t="s">
        <v>445</v>
      </c>
      <c r="E132" s="186">
        <v>0</v>
      </c>
      <c r="F132" s="11"/>
      <c r="G132" s="11" t="s">
        <v>34</v>
      </c>
      <c r="H132" s="627">
        <f>+J$196</f>
        <v>1</v>
      </c>
      <c r="I132" s="11"/>
      <c r="J132" s="168">
        <f>+H132*E132</f>
        <v>0</v>
      </c>
      <c r="K132" s="11"/>
      <c r="L132" s="127"/>
      <c r="M132" s="127"/>
      <c r="N132" s="3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c r="A133" s="12">
        <f t="shared" si="5"/>
        <v>47</v>
      </c>
      <c r="C133" s="18" t="s">
        <v>48</v>
      </c>
      <c r="D133" s="52" t="s">
        <v>445</v>
      </c>
      <c r="E133" s="186">
        <v>0</v>
      </c>
      <c r="F133" s="11"/>
      <c r="G133" s="11" t="str">
        <f>+G132</f>
        <v>W/S</v>
      </c>
      <c r="H133" s="627">
        <f>+J$196</f>
        <v>1</v>
      </c>
      <c r="I133" s="11"/>
      <c r="J133" s="168">
        <f>+H133*E133</f>
        <v>0</v>
      </c>
      <c r="K133" s="11"/>
      <c r="L133" s="127"/>
      <c r="M133" s="127"/>
      <c r="N133" s="3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c r="A134" s="12">
        <f t="shared" si="5"/>
        <v>48</v>
      </c>
      <c r="C134" s="18" t="s">
        <v>49</v>
      </c>
      <c r="D134" s="53" t="s">
        <v>8</v>
      </c>
      <c r="E134" s="175"/>
      <c r="F134" s="11"/>
      <c r="G134" s="11"/>
      <c r="H134" s="627"/>
      <c r="I134" s="11"/>
      <c r="J134" s="175"/>
      <c r="K134" s="11"/>
      <c r="L134" s="127"/>
      <c r="M134" s="127"/>
      <c r="N134" s="3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c r="A135" s="12">
        <f t="shared" si="5"/>
        <v>49</v>
      </c>
      <c r="C135" s="18" t="s">
        <v>50</v>
      </c>
      <c r="D135" s="52" t="s">
        <v>445</v>
      </c>
      <c r="E135" s="186">
        <v>0</v>
      </c>
      <c r="F135" s="11"/>
      <c r="G135" s="11" t="s">
        <v>42</v>
      </c>
      <c r="H135" s="630">
        <f>+H$60</f>
        <v>1</v>
      </c>
      <c r="I135" s="11"/>
      <c r="J135" s="168">
        <f>+H135*E135</f>
        <v>0</v>
      </c>
      <c r="K135" s="11"/>
      <c r="L135" s="127"/>
      <c r="M135" s="127"/>
      <c r="N135" s="3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c r="A136" s="12">
        <f t="shared" si="5"/>
        <v>50</v>
      </c>
      <c r="C136" s="18" t="s">
        <v>51</v>
      </c>
      <c r="D136" s="52" t="s">
        <v>445</v>
      </c>
      <c r="E136" s="186">
        <v>0</v>
      </c>
      <c r="F136" s="11"/>
      <c r="G136" s="19" t="s">
        <v>32</v>
      </c>
      <c r="H136" s="436">
        <v>0</v>
      </c>
      <c r="I136" s="11"/>
      <c r="J136" s="168">
        <f>+H136*E136</f>
        <v>0</v>
      </c>
      <c r="K136" s="11"/>
      <c r="L136" s="127"/>
      <c r="M136" s="127"/>
      <c r="N136" s="3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c r="A137" s="12">
        <f t="shared" si="5"/>
        <v>51</v>
      </c>
      <c r="C137" s="18" t="s">
        <v>52</v>
      </c>
      <c r="D137" s="52" t="s">
        <v>445</v>
      </c>
      <c r="E137" s="186">
        <v>0</v>
      </c>
      <c r="F137" s="11"/>
      <c r="G137" s="11" t="str">
        <f>+G135</f>
        <v>GP</v>
      </c>
      <c r="H137" s="630">
        <f>+H$60</f>
        <v>1</v>
      </c>
      <c r="I137" s="11"/>
      <c r="J137" s="168">
        <f>+H137*E137</f>
        <v>0</v>
      </c>
      <c r="K137" s="11"/>
      <c r="L137" s="127"/>
      <c r="M137" s="127"/>
      <c r="N137" s="3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c r="A138" s="12">
        <f>+A137+1</f>
        <v>52</v>
      </c>
      <c r="C138" s="18" t="str">
        <f>"TOTAL OTHER TAXES  (sum lines "&amp;A132&amp;"-"&amp;A137&amp;")"</f>
        <v>TOTAL OTHER TAXES  (sum lines 46-51)</v>
      </c>
      <c r="D138" s="11"/>
      <c r="E138" s="175">
        <f>SUM(E132:E137)</f>
        <v>0</v>
      </c>
      <c r="F138" s="11"/>
      <c r="G138" s="11"/>
      <c r="H138" s="627"/>
      <c r="I138" s="11"/>
      <c r="J138" s="175">
        <f>SUM(J132:J137)</f>
        <v>0</v>
      </c>
      <c r="K138" s="11"/>
      <c r="L138" s="127"/>
      <c r="M138" s="127"/>
      <c r="N138" s="3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c r="A139" s="12"/>
      <c r="C139" s="18"/>
      <c r="D139" s="11"/>
      <c r="E139" s="11"/>
      <c r="F139" s="11"/>
      <c r="G139" s="11"/>
      <c r="H139" s="627"/>
      <c r="I139" s="11"/>
      <c r="J139" s="175"/>
      <c r="K139" s="11"/>
      <c r="L139" s="127"/>
      <c r="M139" s="127"/>
      <c r="N139" s="3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c r="A140" s="12">
        <f>+A138+1</f>
        <v>53</v>
      </c>
      <c r="C140" s="18" t="s">
        <v>53</v>
      </c>
      <c r="D140" s="11" t="str">
        <f>" (Note "&amp;A246&amp;")"</f>
        <v xml:space="preserve"> (Note F)</v>
      </c>
      <c r="E140" s="11"/>
      <c r="F140" s="11"/>
      <c r="H140" s="641"/>
      <c r="I140" s="11"/>
      <c r="J140" s="168"/>
      <c r="K140" s="11"/>
      <c r="L140" s="127"/>
      <c r="M140" s="127"/>
      <c r="N140" s="30"/>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c r="A141" s="12">
        <f t="shared" ref="A141:A146" si="6">+A140+1</f>
        <v>54</v>
      </c>
      <c r="C141" s="56" t="s">
        <v>54</v>
      </c>
      <c r="D141" s="11"/>
      <c r="E141" s="436">
        <f>IF(E252&gt;0,1-(((1-E253)*(1-E252))/(1-E253*E252*E254)),0)</f>
        <v>0.27983599999999997</v>
      </c>
      <c r="F141" s="11"/>
      <c r="H141" s="55"/>
      <c r="I141" s="30"/>
      <c r="J141" s="168"/>
      <c r="K141" s="11"/>
      <c r="L141" s="127"/>
      <c r="M141" s="127"/>
      <c r="N141" s="30"/>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c r="A142" s="12">
        <f t="shared" si="6"/>
        <v>55</v>
      </c>
      <c r="C142" s="1" t="s">
        <v>55</v>
      </c>
      <c r="D142" s="11"/>
      <c r="E142" s="436">
        <f>IF(J203&gt;0,(E141/(1-E141))*(1-J200/J203),0)</f>
        <v>0.30732351759753557</v>
      </c>
      <c r="F142" s="11"/>
      <c r="H142" s="55"/>
      <c r="I142" s="30"/>
      <c r="J142" s="168"/>
      <c r="K142" s="11"/>
      <c r="L142" s="127"/>
      <c r="M142" s="127"/>
      <c r="N142" s="30"/>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c r="A143" s="12">
        <f t="shared" si="6"/>
        <v>56</v>
      </c>
      <c r="C143" s="18" t="str">
        <f>"       where WCLTD=(line "&amp;A200&amp;") and R= (line "&amp;A203&amp;")"</f>
        <v xml:space="preserve">       where WCLTD=(line 80) and R= (line 83)</v>
      </c>
      <c r="D143" s="11"/>
      <c r="E143" s="11"/>
      <c r="F143" s="11"/>
      <c r="H143" s="55"/>
      <c r="I143" s="30"/>
      <c r="J143" s="168"/>
      <c r="K143" s="11"/>
      <c r="L143" s="127"/>
      <c r="M143" s="127"/>
      <c r="N143" s="30"/>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c r="A144" s="12">
        <f t="shared" si="6"/>
        <v>57</v>
      </c>
      <c r="C144" s="18" t="str">
        <f>"       and FIT, SIT &amp; p are as given in footnote "&amp;A246&amp;"."</f>
        <v xml:space="preserve">       and FIT, SIT &amp; p are as given in footnote F.</v>
      </c>
      <c r="D144" s="11"/>
      <c r="E144" s="11"/>
      <c r="F144" s="11"/>
      <c r="H144" s="55"/>
      <c r="I144" s="30"/>
      <c r="J144" s="168"/>
      <c r="K144" s="11"/>
      <c r="L144" s="127"/>
      <c r="M144" s="127"/>
      <c r="N144" s="30"/>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c r="A145" s="12">
        <f t="shared" si="6"/>
        <v>58</v>
      </c>
      <c r="C145" s="56" t="str">
        <f>"      1 / (1 - T)  = (T from line "&amp;A141&amp;")"</f>
        <v xml:space="preserve">      1 / (1 - T)  = (T from line 54)</v>
      </c>
      <c r="D145" s="11"/>
      <c r="E145" s="436">
        <f>IF(E141&gt;0,1/(1-E141),0)</f>
        <v>1.3885726029071155</v>
      </c>
      <c r="F145" s="11"/>
      <c r="H145" s="55"/>
      <c r="I145" s="30"/>
      <c r="J145" s="168"/>
      <c r="K145" s="11"/>
      <c r="L145" s="127"/>
      <c r="M145" s="127"/>
      <c r="N145" s="30"/>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c r="A146" s="12">
        <f t="shared" si="6"/>
        <v>59</v>
      </c>
      <c r="C146" s="18" t="s">
        <v>56</v>
      </c>
      <c r="D146" s="11"/>
      <c r="E146" s="186">
        <v>0</v>
      </c>
      <c r="F146" s="11"/>
      <c r="H146" s="55"/>
      <c r="I146" s="11"/>
      <c r="J146" s="168"/>
      <c r="K146" s="11"/>
      <c r="L146" s="127"/>
      <c r="M146" s="127"/>
      <c r="N146" s="30"/>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c r="A147" s="12"/>
      <c r="C147" s="18"/>
      <c r="D147" s="11"/>
      <c r="E147" s="175"/>
      <c r="F147" s="11"/>
      <c r="H147" s="55"/>
      <c r="I147" s="11"/>
      <c r="J147" s="168"/>
      <c r="K147" s="11"/>
      <c r="L147" s="127"/>
      <c r="M147" s="127"/>
      <c r="N147" s="30"/>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c r="A148" s="12">
        <f>+A146+1</f>
        <v>60</v>
      </c>
      <c r="C148" s="56" t="str">
        <f>"Income Tax Calculation = line "&amp;A142&amp;" * line "&amp;A153&amp;""</f>
        <v>Income Tax Calculation = line 55 * line 64</v>
      </c>
      <c r="D148" s="57"/>
      <c r="E148" s="1492">
        <f>+E142*E153</f>
        <v>95958.98992261583</v>
      </c>
      <c r="F148" s="11"/>
      <c r="G148" s="11" t="s">
        <v>32</v>
      </c>
      <c r="H148" s="21"/>
      <c r="I148" s="11"/>
      <c r="J148" s="175">
        <f>+E142*J153</f>
        <v>95958.98992261583</v>
      </c>
      <c r="K148" s="11"/>
      <c r="L148" s="127"/>
      <c r="M148" s="127"/>
      <c r="N148" s="3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c r="A149" s="12">
        <f>+A148+1</f>
        <v>61</v>
      </c>
      <c r="C149" s="423" t="str">
        <f>"ITC adjustment (line "&amp;A145&amp;" * line "&amp;A146&amp;")"</f>
        <v>ITC adjustment (line 58 * line 59)</v>
      </c>
      <c r="D149" s="424"/>
      <c r="E149" s="419">
        <f>+E145*E146</f>
        <v>0</v>
      </c>
      <c r="F149" s="418"/>
      <c r="G149" s="423" t="s">
        <v>38</v>
      </c>
      <c r="H149" s="631">
        <f>+H$70</f>
        <v>1</v>
      </c>
      <c r="I149" s="418"/>
      <c r="J149" s="419">
        <f>+H149*E149</f>
        <v>0</v>
      </c>
      <c r="K149" s="11"/>
      <c r="L149" s="127"/>
      <c r="M149" s="127"/>
      <c r="N149" s="3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c r="A150" s="12">
        <f>+A149+1</f>
        <v>62</v>
      </c>
      <c r="C150" s="59" t="s">
        <v>57</v>
      </c>
      <c r="D150" s="1" t="str">
        <f>"(line "&amp;A148&amp;" plus line "&amp;A149&amp;")"</f>
        <v>(line 60 plus line 61)</v>
      </c>
      <c r="E150" s="185">
        <f>+E149+E148</f>
        <v>95958.98992261583</v>
      </c>
      <c r="F150" s="11"/>
      <c r="G150" s="11" t="s">
        <v>8</v>
      </c>
      <c r="H150" s="21" t="s">
        <v>8</v>
      </c>
      <c r="I150" s="11"/>
      <c r="J150" s="185">
        <f>+J148+J149</f>
        <v>95958.98992261583</v>
      </c>
      <c r="K150" s="11"/>
      <c r="L150" s="769"/>
      <c r="M150" s="127"/>
      <c r="N150" s="3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c r="A151" s="12"/>
      <c r="D151" s="61"/>
      <c r="E151" s="175"/>
      <c r="F151" s="11"/>
      <c r="G151" s="11"/>
      <c r="H151" s="21"/>
      <c r="I151" s="11"/>
      <c r="J151" s="175"/>
      <c r="K151" s="11"/>
      <c r="L151" s="769"/>
      <c r="M151" s="127"/>
      <c r="N151" s="3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c r="A152" s="12">
        <f>+A150+1</f>
        <v>63</v>
      </c>
      <c r="C152" s="18" t="s">
        <v>58</v>
      </c>
      <c r="D152" s="42"/>
      <c r="E152" s="168"/>
      <c r="H152" s="55"/>
      <c r="I152" s="11"/>
      <c r="K152" s="11"/>
      <c r="L152" s="769"/>
      <c r="M152" s="127"/>
      <c r="N152" s="30"/>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c r="A153" s="12">
        <f>+A152+1</f>
        <v>64</v>
      </c>
      <c r="C153" s="59" t="str">
        <f>"  [ Rate Base (line "&amp;A89&amp;") * Rate of Return (line "&amp;A203&amp;")]"</f>
        <v xml:space="preserve">  [ Rate Base (line 30) * Rate of Return (line 83)]</v>
      </c>
      <c r="D153" s="26"/>
      <c r="E153" s="175">
        <f>+J203*E89</f>
        <v>312240.95921055321</v>
      </c>
      <c r="F153" s="11"/>
      <c r="G153" s="11" t="s">
        <v>32</v>
      </c>
      <c r="H153" s="55"/>
      <c r="I153" s="11"/>
      <c r="J153" s="175">
        <f>+J89*J203</f>
        <v>312240.95921055321</v>
      </c>
      <c r="K153" s="11"/>
      <c r="L153" s="769"/>
      <c r="M153" s="127"/>
      <c r="N153" s="30"/>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c r="A154" s="12"/>
      <c r="C154" s="18"/>
      <c r="D154" s="26"/>
      <c r="E154" s="127"/>
      <c r="F154" s="11"/>
      <c r="G154" s="11"/>
      <c r="H154" s="55"/>
      <c r="I154" s="11"/>
      <c r="J154" s="748"/>
      <c r="K154" s="11"/>
      <c r="L154" s="769"/>
      <c r="M154" s="127"/>
      <c r="N154" s="30"/>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c r="A155" s="86">
        <f>+A153+1</f>
        <v>65</v>
      </c>
      <c r="C155" s="18" t="str">
        <f>"Rev Requirement before Incenitive Projects  (sum lines "&amp;A122&amp;", "&amp;A128&amp;", "&amp;A138&amp;", "&amp;A150&amp;", "&amp;A153&amp;")"</f>
        <v>Rev Requirement before Incenitive Projects  (sum lines 38, 43, 52, 62, 64)</v>
      </c>
      <c r="D155" s="26"/>
      <c r="E155" s="748">
        <f>+E122+E128+E138+E150+E153</f>
        <v>2503279.3211486586</v>
      </c>
      <c r="F155" s="127"/>
      <c r="G155" s="127"/>
      <c r="H155" s="749"/>
      <c r="I155" s="127"/>
      <c r="J155" s="748">
        <f>+J122+J128+J138+J150+J153</f>
        <v>2503279.3211486586</v>
      </c>
      <c r="K155" s="11"/>
      <c r="L155" s="769"/>
      <c r="M155" s="127"/>
      <c r="N155" s="30"/>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c r="A156" s="86"/>
      <c r="C156" s="18"/>
      <c r="D156" s="26"/>
      <c r="E156" s="836"/>
      <c r="F156" s="127"/>
      <c r="G156" s="127"/>
      <c r="H156" s="749"/>
      <c r="I156" s="127"/>
      <c r="J156" s="748"/>
      <c r="K156" s="11"/>
      <c r="L156" s="769"/>
      <c r="M156" s="127"/>
      <c r="N156" s="30"/>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c r="A157" s="86">
        <f>+A155+1</f>
        <v>66</v>
      </c>
      <c r="C157" s="18" t="s">
        <v>483</v>
      </c>
      <c r="E157" s="161">
        <f>+'4 - Cap Adds'!K30</f>
        <v>-12397.376163432607</v>
      </c>
      <c r="F157" s="11"/>
      <c r="G157" s="11" t="s">
        <v>138</v>
      </c>
      <c r="H157" s="750">
        <v>1</v>
      </c>
      <c r="I157" s="11"/>
      <c r="J157" s="748">
        <f>+H157*E157</f>
        <v>-12397.376163432607</v>
      </c>
      <c r="K157" s="26" t="s">
        <v>478</v>
      </c>
      <c r="L157" s="127"/>
      <c r="M157" s="127"/>
      <c r="N157" s="30"/>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c r="A158" s="12"/>
      <c r="C158" s="18"/>
      <c r="D158" s="26"/>
      <c r="E158" s="127"/>
      <c r="F158" s="11"/>
      <c r="G158" s="11"/>
      <c r="H158" s="55"/>
      <c r="I158" s="11"/>
      <c r="J158" s="748"/>
      <c r="K158" s="11"/>
      <c r="L158" s="127"/>
      <c r="M158" s="127"/>
      <c r="N158" s="30"/>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ht="15.75" thickBot="1">
      <c r="A159" s="12">
        <f>+A157+1</f>
        <v>67</v>
      </c>
      <c r="C159" s="18" t="str">
        <f>"Total Revenue Requirement  (sum lines "&amp;A155&amp;" &amp; "&amp;A157&amp;")"</f>
        <v>Total Revenue Requirement  (sum lines 65 &amp; 66)</v>
      </c>
      <c r="D159" s="11"/>
      <c r="E159" s="176">
        <f>+E155+E157</f>
        <v>2490881.9449852258</v>
      </c>
      <c r="F159" s="11"/>
      <c r="G159" s="11"/>
      <c r="H159" s="11"/>
      <c r="I159" s="11"/>
      <c r="J159" s="176">
        <f>+J155+J157</f>
        <v>2490881.9449852258</v>
      </c>
      <c r="K159" s="11"/>
      <c r="L159" s="437"/>
      <c r="M159" s="127"/>
      <c r="N159" s="3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ht="15.75" thickTop="1">
      <c r="A160" s="12"/>
      <c r="C160" s="63"/>
      <c r="D160" s="63"/>
      <c r="E160" s="63"/>
      <c r="F160" s="63"/>
      <c r="G160" s="63"/>
      <c r="H160" s="63"/>
      <c r="I160" s="63"/>
      <c r="J160" s="63"/>
      <c r="K160" s="155"/>
      <c r="L160" s="154"/>
      <c r="M160" s="154"/>
      <c r="N160" s="63"/>
      <c r="O160" s="63"/>
      <c r="P160" s="63"/>
      <c r="Q160" s="63"/>
    </row>
    <row r="161" spans="1:61">
      <c r="A161" s="12"/>
      <c r="C161" s="26"/>
      <c r="D161" s="63"/>
      <c r="E161" s="63"/>
      <c r="F161" s="63"/>
      <c r="G161" s="63"/>
      <c r="H161" s="63"/>
      <c r="I161" s="63"/>
      <c r="J161" s="63"/>
      <c r="K161" s="63"/>
      <c r="L161" s="155"/>
      <c r="M161" s="155"/>
      <c r="N161" s="63"/>
      <c r="O161" s="63"/>
      <c r="P161" s="63"/>
      <c r="Q161" s="63"/>
    </row>
    <row r="162" spans="1:61">
      <c r="A162" s="12"/>
      <c r="C162" s="113"/>
      <c r="D162" s="63"/>
      <c r="E162" s="63"/>
      <c r="F162" s="63"/>
      <c r="G162" s="63"/>
      <c r="H162" s="63"/>
      <c r="I162" s="63"/>
      <c r="J162" s="63"/>
      <c r="K162" s="63"/>
      <c r="L162" s="155"/>
      <c r="M162" s="155"/>
      <c r="N162" s="63"/>
      <c r="O162" s="63"/>
      <c r="P162" s="63"/>
      <c r="Q162" s="63"/>
    </row>
    <row r="163" spans="1:61">
      <c r="A163" s="12"/>
      <c r="C163" s="115"/>
      <c r="D163" s="63"/>
      <c r="E163" s="63"/>
      <c r="F163" s="63"/>
      <c r="G163" s="63"/>
      <c r="H163" s="63"/>
      <c r="I163" s="63"/>
      <c r="J163" s="63"/>
      <c r="K163" s="63"/>
      <c r="L163" s="155"/>
      <c r="M163" s="155"/>
      <c r="N163" s="63"/>
      <c r="O163" s="63"/>
      <c r="P163" s="63"/>
      <c r="Q163" s="63"/>
    </row>
    <row r="164" spans="1:61">
      <c r="A164" s="12"/>
      <c r="C164" s="115"/>
      <c r="D164" s="63"/>
      <c r="E164" s="63"/>
      <c r="F164" s="63"/>
      <c r="G164" s="63"/>
      <c r="H164" s="63"/>
      <c r="I164" s="63"/>
      <c r="J164" s="63"/>
      <c r="K164" s="63"/>
      <c r="L164" s="63"/>
      <c r="M164" s="63"/>
      <c r="N164" s="63"/>
      <c r="O164" s="63"/>
      <c r="P164" s="63"/>
      <c r="Q164" s="63"/>
    </row>
    <row r="165" spans="1:61">
      <c r="A165" s="12"/>
      <c r="C165" s="115"/>
      <c r="D165" s="63"/>
      <c r="E165" s="63"/>
      <c r="F165" s="63"/>
      <c r="G165" s="63"/>
      <c r="H165" s="63"/>
      <c r="I165" s="63"/>
      <c r="J165" s="63"/>
      <c r="K165" s="63"/>
      <c r="L165" s="63"/>
      <c r="M165" s="63"/>
      <c r="N165" s="63"/>
      <c r="O165" s="63"/>
      <c r="P165" s="63"/>
      <c r="Q165" s="63"/>
    </row>
    <row r="166" spans="1:61">
      <c r="A166" s="12"/>
      <c r="C166" s="110"/>
      <c r="D166" s="63"/>
      <c r="E166" s="63"/>
      <c r="F166" s="63"/>
      <c r="G166" s="63"/>
      <c r="H166" s="63"/>
      <c r="I166" s="63"/>
      <c r="J166" s="63"/>
      <c r="K166" s="63"/>
      <c r="L166" s="63"/>
      <c r="M166" s="63"/>
      <c r="N166" s="63"/>
      <c r="O166" s="63"/>
      <c r="P166" s="63"/>
      <c r="Q166" s="63"/>
    </row>
    <row r="167" spans="1:61">
      <c r="A167" s="12"/>
      <c r="C167" s="110"/>
      <c r="D167" s="63"/>
      <c r="E167" s="63"/>
      <c r="F167" s="63"/>
      <c r="G167" s="63"/>
      <c r="H167" s="63"/>
      <c r="I167" s="63"/>
      <c r="J167" s="63"/>
      <c r="K167" s="63"/>
      <c r="L167" s="63"/>
      <c r="M167" s="63"/>
      <c r="N167" s="63"/>
      <c r="O167" s="63"/>
      <c r="P167" s="63"/>
      <c r="Q167" s="63"/>
    </row>
    <row r="168" spans="1:61">
      <c r="A168" s="12"/>
      <c r="C168" s="64"/>
      <c r="D168" s="63"/>
      <c r="E168" s="63"/>
      <c r="F168" s="63"/>
      <c r="G168" s="63"/>
      <c r="H168" s="63"/>
      <c r="I168" s="63"/>
      <c r="J168" s="63"/>
      <c r="K168" s="63"/>
      <c r="L168" s="63"/>
      <c r="M168" s="63"/>
      <c r="N168" s="63"/>
      <c r="O168" s="63"/>
      <c r="P168" s="63"/>
      <c r="Q168" s="63"/>
    </row>
    <row r="169" spans="1:61">
      <c r="A169" s="12"/>
      <c r="C169" s="113"/>
      <c r="D169" s="63"/>
      <c r="E169" s="63"/>
      <c r="F169" s="63"/>
      <c r="G169" s="63"/>
      <c r="H169" s="63"/>
      <c r="I169" s="63"/>
      <c r="J169" s="63"/>
      <c r="K169" s="63"/>
      <c r="L169" s="63"/>
      <c r="M169" s="63"/>
      <c r="N169" s="63"/>
      <c r="O169" s="63"/>
      <c r="P169" s="63"/>
      <c r="Q169" s="63"/>
    </row>
    <row r="170" spans="1:61">
      <c r="A170" s="12"/>
      <c r="C170" s="110"/>
      <c r="D170" s="63"/>
      <c r="E170" s="63"/>
      <c r="F170" s="63"/>
      <c r="G170" s="63"/>
      <c r="H170" s="63"/>
      <c r="I170" s="63"/>
      <c r="J170" s="63"/>
      <c r="K170" s="63"/>
      <c r="L170" s="63"/>
      <c r="M170" s="63"/>
      <c r="N170" s="63"/>
      <c r="O170" s="63"/>
      <c r="P170" s="63"/>
      <c r="Q170" s="63"/>
    </row>
    <row r="171" spans="1:61">
      <c r="A171" s="12"/>
      <c r="C171" s="26"/>
      <c r="D171" s="63"/>
      <c r="E171" s="63"/>
      <c r="F171" s="63"/>
      <c r="G171" s="63"/>
      <c r="H171" s="63"/>
      <c r="I171" s="63"/>
      <c r="J171" s="63"/>
      <c r="K171" s="63"/>
      <c r="L171" s="63"/>
      <c r="M171" s="63"/>
      <c r="N171" s="63"/>
      <c r="O171" s="63"/>
      <c r="P171" s="63"/>
      <c r="Q171" s="63"/>
    </row>
    <row r="172" spans="1:61">
      <c r="A172" s="12"/>
      <c r="C172" s="2"/>
      <c r="D172" s="2"/>
      <c r="E172" s="3"/>
      <c r="F172" s="2"/>
      <c r="G172" s="2"/>
      <c r="H172" s="2"/>
      <c r="I172" s="2"/>
      <c r="J172" s="2"/>
      <c r="K172" s="4"/>
      <c r="L172" s="4"/>
      <c r="M172" s="5"/>
      <c r="N172" s="6"/>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row>
    <row r="173" spans="1:61">
      <c r="A173" s="12"/>
      <c r="C173" s="2"/>
      <c r="D173" s="2"/>
      <c r="E173" s="3"/>
      <c r="F173" s="2"/>
      <c r="G173" s="2"/>
      <c r="H173" s="2"/>
      <c r="I173" s="8"/>
      <c r="J173" s="5"/>
      <c r="K173" s="5"/>
      <c r="L173" s="5"/>
      <c r="M173" s="5" t="s">
        <v>497</v>
      </c>
      <c r="N173" s="6"/>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row>
    <row r="174" spans="1:61">
      <c r="A174" s="12"/>
      <c r="C174" s="2"/>
      <c r="D174" s="2"/>
      <c r="E174" s="3"/>
      <c r="F174" s="2"/>
      <c r="G174" s="2"/>
      <c r="H174" s="2"/>
      <c r="I174" s="8"/>
      <c r="J174" s="9"/>
      <c r="K174" s="9"/>
      <c r="L174" s="9"/>
      <c r="M174" s="9" t="s">
        <v>435</v>
      </c>
      <c r="N174" s="6"/>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row>
    <row r="175" spans="1:61">
      <c r="A175" s="12"/>
      <c r="C175" s="2"/>
      <c r="D175" s="2"/>
      <c r="E175" s="3"/>
      <c r="F175" s="2"/>
      <c r="G175" s="2"/>
      <c r="H175" s="2"/>
      <c r="I175" s="8"/>
      <c r="J175" s="8"/>
      <c r="K175" s="10"/>
      <c r="L175" s="9"/>
      <c r="M175" s="9"/>
      <c r="N175" s="6"/>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row>
    <row r="176" spans="1:61">
      <c r="A176" s="12"/>
      <c r="C176" s="2"/>
      <c r="D176" s="2"/>
      <c r="E176" s="3"/>
      <c r="F176" s="2"/>
      <c r="G176" s="2"/>
      <c r="H176" s="2"/>
      <c r="I176" s="8"/>
      <c r="J176" s="8"/>
      <c r="K176" s="10"/>
      <c r="L176" s="9"/>
      <c r="M176" s="6"/>
      <c r="N176" s="6"/>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c r="A177" s="12"/>
      <c r="C177" s="2" t="s">
        <v>7</v>
      </c>
      <c r="D177" s="116"/>
      <c r="E177" s="4" t="s">
        <v>108</v>
      </c>
      <c r="F177" s="2"/>
      <c r="G177" s="2"/>
      <c r="H177" s="2"/>
      <c r="I177" s="8"/>
      <c r="K177" s="10"/>
      <c r="L177" s="10"/>
      <c r="M177" s="6"/>
      <c r="N177" s="6"/>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c r="A178" s="12"/>
      <c r="C178" s="2"/>
      <c r="D178" s="11"/>
      <c r="E178" s="79" t="s">
        <v>9</v>
      </c>
      <c r="F178" s="11"/>
      <c r="G178" s="11"/>
      <c r="H178" s="11"/>
      <c r="I178" s="8"/>
      <c r="J178" s="8"/>
      <c r="K178" s="10"/>
      <c r="L178" s="10"/>
      <c r="M178" s="6"/>
      <c r="N178" s="6"/>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c r="A179" s="12"/>
      <c r="C179" s="26"/>
      <c r="D179" s="26"/>
      <c r="E179" s="26"/>
      <c r="F179" s="26"/>
      <c r="G179" s="26"/>
      <c r="H179" s="26"/>
      <c r="I179" s="26"/>
      <c r="J179" s="26"/>
      <c r="K179" s="339"/>
      <c r="L179" s="340"/>
      <c r="M179" s="338" t="str">
        <f>+M108</f>
        <v>For the 12 months ended 12/31/2020</v>
      </c>
      <c r="N179" s="3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ht="15.75">
      <c r="A180" s="12"/>
      <c r="D180" s="26"/>
      <c r="E180" s="37" t="str">
        <f>E8</f>
        <v>MidAmerican Central California Transco, LLC</v>
      </c>
      <c r="F180" s="26"/>
      <c r="G180" s="26"/>
      <c r="H180" s="26"/>
      <c r="I180" s="26"/>
      <c r="J180" s="26"/>
      <c r="K180" s="11"/>
      <c r="M180" s="426"/>
      <c r="N180" s="3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ht="15.75">
      <c r="A181" s="12"/>
      <c r="C181" s="26"/>
      <c r="E181" s="48" t="s">
        <v>286</v>
      </c>
      <c r="F181" s="10"/>
      <c r="G181" s="10"/>
      <c r="H181" s="10"/>
      <c r="I181" s="10"/>
      <c r="J181" s="10"/>
      <c r="K181" s="11"/>
      <c r="L181" s="11"/>
      <c r="M181" s="6"/>
      <c r="N181" s="3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ht="15.75">
      <c r="A182" s="12"/>
      <c r="C182" s="40"/>
      <c r="D182" s="10"/>
      <c r="E182" s="10"/>
      <c r="F182" s="10"/>
      <c r="G182" s="10"/>
      <c r="H182" s="10"/>
      <c r="I182" s="10"/>
      <c r="J182" s="10"/>
      <c r="K182" s="11"/>
      <c r="L182" s="11"/>
      <c r="M182" s="6"/>
      <c r="N182" s="3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c r="A183" s="12">
        <f>+A159+1</f>
        <v>68</v>
      </c>
      <c r="C183" s="65" t="s">
        <v>290</v>
      </c>
      <c r="D183" s="66"/>
      <c r="E183" s="66"/>
      <c r="F183" s="66"/>
      <c r="G183" s="66"/>
      <c r="H183" s="66"/>
      <c r="I183" s="67"/>
      <c r="J183" s="68"/>
      <c r="K183" s="60"/>
      <c r="L183" s="60"/>
      <c r="M183" s="70"/>
      <c r="N183" s="3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c r="A184" s="12"/>
      <c r="C184" s="65"/>
      <c r="D184" s="66"/>
      <c r="E184" s="66"/>
      <c r="F184" s="66"/>
      <c r="G184" s="66"/>
      <c r="H184" s="66"/>
      <c r="I184" s="66"/>
      <c r="J184" s="60"/>
      <c r="K184" s="60"/>
      <c r="L184" s="60"/>
      <c r="M184" s="69"/>
      <c r="N184" s="71"/>
      <c r="O184" s="72"/>
      <c r="P184" s="72"/>
      <c r="Q184" s="72"/>
      <c r="R184" s="72"/>
      <c r="S184" s="72"/>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c r="A185" s="12">
        <f>+A183+1</f>
        <v>69</v>
      </c>
      <c r="C185" s="28" t="str">
        <f>"Total transmission plant    (line "&amp;A58&amp;", column 3)"</f>
        <v>Total transmission plant    (line 5, column 3)</v>
      </c>
      <c r="D185" s="66"/>
      <c r="E185" s="19"/>
      <c r="F185" s="19"/>
      <c r="G185" s="19"/>
      <c r="H185" s="19"/>
      <c r="I185" s="19"/>
      <c r="J185" s="629">
        <f>+E58</f>
        <v>0</v>
      </c>
      <c r="K185" s="19"/>
      <c r="L185" s="19"/>
      <c r="M185" s="19"/>
      <c r="N185" s="71"/>
      <c r="O185" s="72"/>
      <c r="P185" s="72"/>
      <c r="Q185" s="72"/>
      <c r="R185" s="72"/>
      <c r="S185" s="72"/>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c r="A186" s="12">
        <f>+A185+1</f>
        <v>70</v>
      </c>
      <c r="C186" s="28" t="str">
        <f>"Less transmission plant excluded from CAISO rates       (Note "&amp;A260&amp;")"</f>
        <v>Less transmission plant excluded from CAISO rates       (Note H)</v>
      </c>
      <c r="D186" s="62"/>
      <c r="E186" s="62"/>
      <c r="F186" s="62"/>
      <c r="G186" s="62"/>
      <c r="H186" s="62"/>
      <c r="I186" s="62"/>
      <c r="J186" s="632">
        <f>+'2a - Cost Support'!G109</f>
        <v>0</v>
      </c>
      <c r="K186" s="19"/>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row>
    <row r="187" spans="1:61" ht="15.75" thickBot="1">
      <c r="A187" s="12">
        <f>+A186+1</f>
        <v>71</v>
      </c>
      <c r="C187" s="73" t="str">
        <f>"Less transmission plant included in OATT Ancillary Services    (Note "&amp;A260&amp;")"</f>
        <v>Less transmission plant included in OATT Ancillary Services    (Note H)</v>
      </c>
      <c r="D187" s="74"/>
      <c r="E187" s="58"/>
      <c r="F187" s="19"/>
      <c r="G187" s="19"/>
      <c r="H187" s="75"/>
      <c r="I187" s="19"/>
      <c r="J187" s="634">
        <v>0</v>
      </c>
      <c r="K187" s="19"/>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row>
    <row r="188" spans="1:61">
      <c r="A188" s="12">
        <f>+A187+1</f>
        <v>72</v>
      </c>
      <c r="C188" s="28" t="str">
        <f>"Transmission plant included in RTO rates  (line "&amp;A185&amp;" less lines "&amp;A186&amp;" &amp; "&amp;A187&amp;")"</f>
        <v>Transmission plant included in RTO rates  (line 69 less lines 70 &amp; 71)</v>
      </c>
      <c r="D188" s="66"/>
      <c r="E188" s="19"/>
      <c r="F188" s="19"/>
      <c r="G188" s="19"/>
      <c r="H188" s="75"/>
      <c r="I188" s="19"/>
      <c r="J188" s="629">
        <f>+J185-J186-J187</f>
        <v>0</v>
      </c>
      <c r="K188" s="19"/>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row>
    <row r="189" spans="1:61">
      <c r="A189" s="12"/>
      <c r="C189" s="62"/>
      <c r="D189" s="66"/>
      <c r="E189" s="19"/>
      <c r="F189" s="19"/>
      <c r="G189" s="19"/>
      <c r="H189" s="75"/>
      <c r="I189" s="19"/>
      <c r="J189" s="67"/>
      <c r="K189" s="19"/>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row>
    <row r="190" spans="1:61">
      <c r="A190" s="12">
        <f>+A188+1</f>
        <v>73</v>
      </c>
      <c r="C190" s="28" t="str">
        <f>"Percentage of transmission plant included in RTO Rates (line "&amp;A188&amp;" divided by line "&amp;A185&amp;") [If line "&amp;A185&amp;" equal zero, enter 1)"</f>
        <v>Percentage of transmission plant included in RTO Rates (line 72 divided by line 69) [If line 69 equal zero, enter 1)</v>
      </c>
      <c r="D190" s="76"/>
      <c r="E190" s="77"/>
      <c r="F190" s="77"/>
      <c r="G190" s="77"/>
      <c r="H190" s="78"/>
      <c r="I190" s="19" t="s">
        <v>60</v>
      </c>
      <c r="J190" s="436">
        <f>IF(J185=0,1,J188/J185)</f>
        <v>1</v>
      </c>
      <c r="K190" s="43"/>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row>
    <row r="191" spans="1:61">
      <c r="A191" s="12"/>
      <c r="C191" s="67"/>
      <c r="D191" s="67"/>
      <c r="E191" s="67"/>
      <c r="F191" s="67"/>
      <c r="G191" s="67"/>
      <c r="H191" s="67"/>
      <c r="I191" s="67"/>
      <c r="J191" s="67"/>
      <c r="K191" s="19"/>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row>
    <row r="192" spans="1:61">
      <c r="A192" s="12">
        <f>+A190+1</f>
        <v>74</v>
      </c>
      <c r="C192" s="18" t="s">
        <v>302</v>
      </c>
      <c r="D192" s="11"/>
      <c r="F192" s="11"/>
      <c r="G192" s="11"/>
      <c r="H192" s="19"/>
      <c r="I192" s="60"/>
      <c r="J192" s="80"/>
      <c r="K192" s="6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row>
    <row r="193" spans="1:61" ht="15.75" thickBot="1">
      <c r="A193" s="12">
        <f>+A192+1</f>
        <v>75</v>
      </c>
      <c r="C193" s="18"/>
      <c r="D193" s="24" t="s">
        <v>61</v>
      </c>
      <c r="E193" s="81" t="s">
        <v>62</v>
      </c>
      <c r="F193" s="81" t="s">
        <v>23</v>
      </c>
      <c r="G193" s="11"/>
      <c r="H193" s="81" t="s">
        <v>63</v>
      </c>
      <c r="I193" s="11"/>
      <c r="J193" s="67"/>
      <c r="K193" s="67"/>
      <c r="L193" s="67"/>
      <c r="M193" s="54"/>
      <c r="N193" s="3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row>
    <row r="194" spans="1:61">
      <c r="A194" s="12">
        <f>+A193+1</f>
        <v>76</v>
      </c>
      <c r="C194" s="18" t="s">
        <v>33</v>
      </c>
      <c r="D194" s="11" t="s">
        <v>278</v>
      </c>
      <c r="E194" s="632">
        <v>0</v>
      </c>
      <c r="F194" s="633">
        <f>+J190</f>
        <v>1</v>
      </c>
      <c r="H194" s="625">
        <f>+F194*E194</f>
        <v>0</v>
      </c>
      <c r="I194" s="11"/>
      <c r="J194" s="67"/>
      <c r="K194" s="19"/>
      <c r="L194" s="19"/>
      <c r="M194" s="54"/>
      <c r="N194" s="83"/>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row>
    <row r="195" spans="1:61" ht="15.75" thickBot="1">
      <c r="A195" s="12">
        <f>+A194+1</f>
        <v>77</v>
      </c>
      <c r="C195" s="18" t="s">
        <v>64</v>
      </c>
      <c r="D195" s="11" t="s">
        <v>279</v>
      </c>
      <c r="E195" s="634">
        <v>0</v>
      </c>
      <c r="F195" s="82"/>
      <c r="G195" s="82"/>
      <c r="H195" s="635"/>
      <c r="I195" s="11"/>
      <c r="J195" s="85" t="s">
        <v>65</v>
      </c>
      <c r="K195" s="19"/>
      <c r="L195" s="19"/>
      <c r="M195" s="54"/>
      <c r="N195" s="3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row>
    <row r="196" spans="1:61">
      <c r="A196" s="12">
        <f>+A195+1</f>
        <v>78</v>
      </c>
      <c r="C196" s="18" t="str">
        <f>"  Total  (sum lines "&amp;A194&amp;"-"&amp;A195&amp;") [TP equals 1 if there are no wages &amp; salaries]"</f>
        <v xml:space="preserve">  Total  (sum lines 76-77) [TP equals 1 if there are no wages &amp; salaries]</v>
      </c>
      <c r="D196" s="11"/>
      <c r="E196" s="625">
        <f>SUM(E194:E195)</f>
        <v>0</v>
      </c>
      <c r="F196" s="11"/>
      <c r="G196" s="11"/>
      <c r="H196" s="625">
        <f>SUM(H194:H195)</f>
        <v>0</v>
      </c>
      <c r="I196" s="32" t="s">
        <v>66</v>
      </c>
      <c r="J196" s="630">
        <f>IF(E196=0,1,H196/E196)</f>
        <v>1</v>
      </c>
      <c r="K196" s="75" t="s">
        <v>66</v>
      </c>
      <c r="L196" s="75" t="s">
        <v>67</v>
      </c>
      <c r="M196" s="54"/>
      <c r="N196" s="3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row>
    <row r="197" spans="1:61">
      <c r="A197" s="12"/>
      <c r="B197" s="45"/>
      <c r="C197" s="2"/>
      <c r="D197" s="11"/>
      <c r="E197" s="11"/>
      <c r="F197" s="11"/>
      <c r="G197" s="11"/>
      <c r="H197" s="11"/>
      <c r="I197" s="11"/>
      <c r="J197" s="11"/>
      <c r="K197" s="11"/>
      <c r="L197" s="158"/>
      <c r="M197" s="149"/>
      <c r="N197" s="7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row>
    <row r="198" spans="1:61">
      <c r="A198" s="12">
        <f>+A196+1</f>
        <v>79</v>
      </c>
      <c r="B198" s="45"/>
      <c r="C198" s="65" t="str">
        <f>"RETURN (R)      (Note "&amp;A264&amp;")"</f>
        <v>RETURN (R)      (Note J)</v>
      </c>
      <c r="D198" s="19"/>
      <c r="E198" s="117"/>
      <c r="F198" s="117"/>
      <c r="G198" s="45"/>
      <c r="H198" s="45"/>
      <c r="I198" s="45"/>
      <c r="J198" s="11"/>
      <c r="K198" s="11"/>
      <c r="L198" s="127"/>
      <c r="M198" s="136"/>
      <c r="N198" s="3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row>
    <row r="199" spans="1:61" ht="15.75" thickBot="1">
      <c r="A199" s="12"/>
      <c r="C199" s="50"/>
      <c r="D199" s="19"/>
      <c r="E199" s="16" t="s">
        <v>62</v>
      </c>
      <c r="F199" s="16" t="s">
        <v>69</v>
      </c>
      <c r="G199" s="11"/>
      <c r="H199" s="81" t="s">
        <v>68</v>
      </c>
      <c r="I199" s="11"/>
      <c r="J199" s="16" t="s">
        <v>70</v>
      </c>
      <c r="K199" s="11"/>
      <c r="L199" s="127"/>
      <c r="M199" s="136"/>
      <c r="N199" s="3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row>
    <row r="200" spans="1:61">
      <c r="A200" s="12">
        <f>+A198+1</f>
        <v>80</v>
      </c>
      <c r="C200" s="65" t="s">
        <v>1049</v>
      </c>
      <c r="D200" s="19"/>
      <c r="E200" s="636">
        <f>+'2b - Cost Support'!Q15</f>
        <v>0</v>
      </c>
      <c r="F200" s="839">
        <v>0.48</v>
      </c>
      <c r="G200" s="87"/>
      <c r="H200" s="1510">
        <f>'5-Construction Loan'!I46</f>
        <v>2.9500000000000002E-2</v>
      </c>
      <c r="J200" s="626">
        <f>+H200*F200</f>
        <v>1.4160000000000001E-2</v>
      </c>
      <c r="K200" s="88" t="s">
        <v>71</v>
      </c>
      <c r="L200" s="125"/>
      <c r="M200" s="136"/>
      <c r="N200" s="83"/>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row>
    <row r="201" spans="1:61">
      <c r="A201" s="12">
        <f>+A200+1</f>
        <v>81</v>
      </c>
      <c r="C201" s="65" t="s">
        <v>1050</v>
      </c>
      <c r="D201" s="19"/>
      <c r="E201" s="629">
        <f>+'2b - Cost Support'!Q17</f>
        <v>0</v>
      </c>
      <c r="F201" s="840">
        <f>IF(E$203=0,0,E201/E$203)</f>
        <v>0</v>
      </c>
      <c r="G201" s="87"/>
      <c r="H201" s="625">
        <f>+'2b - Cost Support'!P41</f>
        <v>0</v>
      </c>
      <c r="J201" s="626">
        <f>+H201*F201</f>
        <v>0</v>
      </c>
      <c r="K201" s="11"/>
      <c r="L201" s="125"/>
      <c r="M201" s="136"/>
      <c r="N201" s="3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row>
    <row r="202" spans="1:61" ht="15.75" thickBot="1">
      <c r="A202" s="12">
        <f>+A201+1</f>
        <v>82</v>
      </c>
      <c r="C202" s="65" t="s">
        <v>1057</v>
      </c>
      <c r="D202" s="19"/>
      <c r="E202" s="637">
        <f>+'2b - Cost Support'!Q23</f>
        <v>6013325.7723076921</v>
      </c>
      <c r="F202" s="839">
        <v>0.52</v>
      </c>
      <c r="G202" s="87"/>
      <c r="H202" s="859">
        <v>0.10299999999999999</v>
      </c>
      <c r="J202" s="638">
        <f>+H202*F202</f>
        <v>5.3559999999999997E-2</v>
      </c>
      <c r="K202" s="11"/>
      <c r="L202" s="125"/>
      <c r="M202" s="136"/>
      <c r="N202" s="83"/>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row>
    <row r="203" spans="1:61">
      <c r="A203" s="12">
        <f>+A202+1</f>
        <v>83</v>
      </c>
      <c r="C203" s="18" t="str">
        <f>"Total  (sum lines "&amp;A200&amp;"-"&amp;A202&amp;")"</f>
        <v>Total  (sum lines 80-82)</v>
      </c>
      <c r="E203" s="625">
        <f>SUM(E200:E202)</f>
        <v>6013325.7723076921</v>
      </c>
      <c r="F203" s="11" t="s">
        <v>8</v>
      </c>
      <c r="G203" s="11"/>
      <c r="H203" s="11"/>
      <c r="I203" s="11"/>
      <c r="J203" s="626">
        <f>SUM(J200:J202)</f>
        <v>6.7720000000000002E-2</v>
      </c>
      <c r="K203" s="88" t="s">
        <v>72</v>
      </c>
      <c r="L203" s="125"/>
      <c r="M203" s="136"/>
      <c r="N203" s="3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row>
    <row r="204" spans="1:61">
      <c r="F204" s="11"/>
      <c r="G204" s="11"/>
      <c r="H204" s="11"/>
      <c r="I204" s="11"/>
      <c r="L204" s="125"/>
      <c r="M204" s="136"/>
      <c r="N204" s="3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row>
    <row r="205" spans="1:61">
      <c r="F205" s="11"/>
      <c r="G205" s="11"/>
      <c r="H205" s="11"/>
      <c r="I205" s="11"/>
      <c r="L205" s="125"/>
      <c r="M205" s="136"/>
      <c r="N205" s="3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row>
    <row r="206" spans="1:61" ht="15.75">
      <c r="A206" s="67"/>
      <c r="B206" s="67"/>
      <c r="C206" s="687" t="s">
        <v>953</v>
      </c>
      <c r="D206" s="67"/>
      <c r="E206" s="67"/>
      <c r="F206" s="19"/>
      <c r="G206" s="19"/>
      <c r="H206" s="75" t="s">
        <v>461</v>
      </c>
      <c r="I206" s="75"/>
      <c r="J206" s="829"/>
      <c r="K206" s="67"/>
      <c r="L206" s="130"/>
      <c r="M206" s="648"/>
      <c r="N206" s="3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row>
    <row r="207" spans="1:61">
      <c r="A207" s="718"/>
      <c r="B207" s="67"/>
      <c r="C207" s="647"/>
      <c r="D207" s="67"/>
      <c r="E207" s="67"/>
      <c r="F207" s="19"/>
      <c r="G207" s="19"/>
      <c r="H207" s="762"/>
      <c r="J207" s="75"/>
      <c r="K207" s="67"/>
      <c r="L207" s="130"/>
      <c r="M207" s="648"/>
      <c r="N207" s="3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row>
    <row r="208" spans="1:61">
      <c r="A208" s="718">
        <f>+A203+1</f>
        <v>84</v>
      </c>
      <c r="B208" s="67"/>
      <c r="C208" s="647" t="s">
        <v>5</v>
      </c>
      <c r="D208" s="67" t="str">
        <f>"(Line "&amp;A68&amp;")"</f>
        <v>(Line 13)</v>
      </c>
      <c r="E208" s="67"/>
      <c r="F208" s="19"/>
      <c r="G208" s="19"/>
      <c r="H208" s="649">
        <f>+J68</f>
        <v>0</v>
      </c>
      <c r="I208" s="19"/>
      <c r="J208" s="67"/>
      <c r="K208" s="67"/>
      <c r="L208" s="130"/>
      <c r="M208" s="648"/>
      <c r="N208" s="3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row>
    <row r="209" spans="1:61">
      <c r="A209" s="718">
        <f>+A208+1</f>
        <v>85</v>
      </c>
      <c r="B209" s="67"/>
      <c r="C209" s="647" t="s">
        <v>269</v>
      </c>
      <c r="D209" s="67" t="str">
        <f>"(Line "&amp;A75&amp;")"</f>
        <v>(Line 19)</v>
      </c>
      <c r="E209" s="67"/>
      <c r="F209" s="19"/>
      <c r="G209" s="19"/>
      <c r="H209" s="649">
        <f>+J75</f>
        <v>0</v>
      </c>
      <c r="J209" s="124"/>
      <c r="K209" s="67"/>
      <c r="L209" s="130"/>
      <c r="M209" s="648"/>
      <c r="N209" s="3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row>
    <row r="210" spans="1:61">
      <c r="A210" s="718">
        <f>+A209+1</f>
        <v>86</v>
      </c>
      <c r="B210" s="67"/>
      <c r="C210" s="650" t="s">
        <v>6</v>
      </c>
      <c r="D210" s="67" t="str">
        <f>"(Line "&amp;A78&amp;")"</f>
        <v>(Line 22)</v>
      </c>
      <c r="E210" s="67"/>
      <c r="F210" s="19"/>
      <c r="G210" s="19"/>
      <c r="H210" s="649">
        <f>+J78</f>
        <v>5042233.6642105263</v>
      </c>
      <c r="I210" s="19"/>
      <c r="J210" s="67"/>
      <c r="K210" s="67"/>
      <c r="L210" s="130"/>
      <c r="M210" s="648"/>
      <c r="N210" s="3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row>
    <row r="211" spans="1:61">
      <c r="A211" s="718">
        <f>+A210+1</f>
        <v>87</v>
      </c>
      <c r="B211" s="67"/>
      <c r="C211" s="650" t="s">
        <v>396</v>
      </c>
      <c r="D211" s="67" t="str">
        <f>"(Line "&amp;A77&amp;")"</f>
        <v>(Line 21)</v>
      </c>
      <c r="E211" s="67"/>
      <c r="F211" s="19"/>
      <c r="G211" s="19"/>
      <c r="H211" s="649">
        <f>+J77</f>
        <v>1728068.5</v>
      </c>
      <c r="I211" s="19"/>
      <c r="J211" s="67"/>
      <c r="L211" s="130"/>
      <c r="M211" s="648"/>
      <c r="N211" s="3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row>
    <row r="212" spans="1:61" ht="27.75" customHeight="1">
      <c r="A212" s="718">
        <f>+A211+1</f>
        <v>88</v>
      </c>
      <c r="B212" s="67"/>
      <c r="C212" s="728" t="str">
        <f>+C206</f>
        <v>Sum Of Net Transmission Plant, CWIP in Rate Base, Regulatory Asset and Unamortized Abandoned Plant</v>
      </c>
      <c r="D212" s="67"/>
      <c r="E212" s="67"/>
      <c r="F212" s="19"/>
      <c r="G212" s="19"/>
      <c r="H212" s="411">
        <f>SUM(H208:H211)</f>
        <v>6770302.1642105263</v>
      </c>
      <c r="I212" s="19"/>
      <c r="J212" s="411"/>
      <c r="K212" s="1517"/>
      <c r="L212" s="1517"/>
      <c r="M212" s="1517"/>
      <c r="N212" s="3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row>
    <row r="213" spans="1:61">
      <c r="A213" s="718"/>
      <c r="B213" s="67"/>
      <c r="C213" s="647"/>
      <c r="D213" s="67"/>
      <c r="E213" s="67"/>
      <c r="F213" s="19"/>
      <c r="G213" s="19"/>
      <c r="H213" s="19"/>
      <c r="I213" s="19"/>
      <c r="J213" s="67"/>
      <c r="K213" s="67"/>
      <c r="L213" s="130"/>
      <c r="M213" s="648"/>
      <c r="N213" s="3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row>
    <row r="214" spans="1:61">
      <c r="A214" s="718"/>
      <c r="B214" s="67"/>
      <c r="C214" s="647"/>
      <c r="D214" s="67"/>
      <c r="E214" s="67"/>
      <c r="F214" s="19"/>
      <c r="G214" s="19"/>
      <c r="H214" s="19"/>
      <c r="I214" s="19"/>
      <c r="J214" s="19"/>
      <c r="K214" s="67"/>
      <c r="L214" s="130"/>
      <c r="M214" s="648"/>
      <c r="N214" s="3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row>
    <row r="215" spans="1:61">
      <c r="A215" s="67"/>
      <c r="B215" s="67"/>
      <c r="C215" s="651"/>
      <c r="D215" s="651"/>
      <c r="E215" s="651"/>
      <c r="F215" s="19"/>
      <c r="G215" s="19"/>
      <c r="H215" s="652"/>
      <c r="I215" s="19"/>
      <c r="J215" s="653"/>
      <c r="K215" s="67"/>
      <c r="L215" s="130"/>
      <c r="M215" s="654"/>
      <c r="N215" s="3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row>
    <row r="216" spans="1:61">
      <c r="A216" s="67"/>
      <c r="B216" s="67"/>
      <c r="C216" s="647"/>
      <c r="D216" s="647"/>
      <c r="E216" s="655"/>
      <c r="F216" s="19"/>
      <c r="G216" s="19"/>
      <c r="H216" s="19"/>
      <c r="I216" s="19"/>
      <c r="J216" s="655"/>
      <c r="K216" s="67"/>
      <c r="L216" s="130"/>
      <c r="M216" s="656"/>
      <c r="N216" s="3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row>
    <row r="217" spans="1:61">
      <c r="C217" s="2"/>
      <c r="D217" s="2"/>
      <c r="E217" s="3"/>
      <c r="F217" s="2"/>
      <c r="G217" s="2"/>
      <c r="H217" s="2"/>
      <c r="I217" s="8"/>
      <c r="J217" s="9"/>
      <c r="K217" s="9"/>
      <c r="L217" s="9"/>
      <c r="M217" s="5" t="s">
        <v>497</v>
      </c>
      <c r="N217" s="6"/>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row>
    <row r="218" spans="1:61">
      <c r="C218" s="2"/>
      <c r="D218" s="2"/>
      <c r="E218" s="3"/>
      <c r="F218" s="2"/>
      <c r="G218" s="2"/>
      <c r="H218" s="2"/>
      <c r="I218" s="8"/>
      <c r="J218" s="8"/>
      <c r="K218" s="10"/>
      <c r="L218" s="9"/>
      <c r="M218" s="9" t="s">
        <v>434</v>
      </c>
      <c r="N218" s="6"/>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row>
    <row r="219" spans="1:61" ht="15.75">
      <c r="C219" s="2"/>
      <c r="D219" s="40" t="s">
        <v>59</v>
      </c>
      <c r="F219" s="2"/>
      <c r="G219" s="2"/>
      <c r="H219" s="2"/>
      <c r="I219" s="8"/>
      <c r="J219" s="8"/>
      <c r="K219" s="10"/>
      <c r="L219" s="9"/>
      <c r="M219" s="6"/>
      <c r="N219" s="6"/>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row>
    <row r="220" spans="1:61">
      <c r="C220" s="2" t="s">
        <v>7</v>
      </c>
      <c r="D220" s="116"/>
      <c r="E220" s="116" t="s">
        <v>107</v>
      </c>
      <c r="F220" s="2"/>
      <c r="G220" s="2"/>
      <c r="H220" s="2"/>
      <c r="I220" s="8"/>
      <c r="K220" s="10"/>
      <c r="L220" s="10"/>
      <c r="M220" s="6"/>
      <c r="N220" s="6"/>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row>
    <row r="221" spans="1:61">
      <c r="C221" s="2"/>
      <c r="D221" s="11" t="s">
        <v>8</v>
      </c>
      <c r="E221" s="11" t="s">
        <v>9</v>
      </c>
      <c r="F221" s="11"/>
      <c r="G221" s="11"/>
      <c r="H221" s="11"/>
      <c r="I221" s="8"/>
      <c r="J221" s="8"/>
      <c r="K221" s="10"/>
      <c r="L221" s="10"/>
      <c r="M221" s="6"/>
      <c r="N221" s="6"/>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row>
    <row r="222" spans="1:61">
      <c r="A222" s="12"/>
      <c r="C222" s="26"/>
      <c r="D222" s="26"/>
      <c r="E222" s="26"/>
      <c r="F222" s="26"/>
      <c r="G222" s="26"/>
      <c r="H222" s="26"/>
      <c r="I222" s="26"/>
      <c r="J222" s="26"/>
      <c r="K222" s="339"/>
      <c r="L222" s="340"/>
      <c r="M222" s="338" t="str">
        <f>+M179</f>
        <v>For the 12 months ended 12/31/2020</v>
      </c>
      <c r="N222" s="3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row>
    <row r="223" spans="1:61" ht="15.75">
      <c r="A223" s="12"/>
      <c r="D223" s="26"/>
      <c r="E223" s="35" t="str">
        <f>E8</f>
        <v>MidAmerican Central California Transco, LLC</v>
      </c>
      <c r="F223" s="26"/>
      <c r="G223" s="26"/>
      <c r="H223" s="26"/>
      <c r="I223" s="26"/>
      <c r="J223" s="26"/>
      <c r="K223" s="11"/>
      <c r="M223" s="426"/>
      <c r="N223" s="3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row>
    <row r="224" spans="1:61">
      <c r="A224" s="12"/>
      <c r="C224" s="26"/>
      <c r="D224" s="4"/>
      <c r="F224" s="10"/>
      <c r="G224" s="10"/>
      <c r="H224" s="10"/>
      <c r="I224" s="10"/>
      <c r="J224" s="10"/>
      <c r="K224" s="11"/>
      <c r="L224" s="11"/>
      <c r="M224" s="6"/>
      <c r="N224" s="3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row>
    <row r="225" spans="1:61" ht="15.75">
      <c r="A225" s="12"/>
      <c r="B225" s="45"/>
      <c r="C225" s="91"/>
      <c r="D225" s="4"/>
      <c r="E225" s="11"/>
      <c r="F225" s="11"/>
      <c r="G225" s="11"/>
      <c r="H225" s="11"/>
      <c r="I225" s="8"/>
      <c r="J225" s="160"/>
      <c r="K225" s="90"/>
      <c r="L225" s="93"/>
      <c r="M225" s="94"/>
      <c r="N225" s="6"/>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row>
    <row r="226" spans="1:61" ht="15.75">
      <c r="A226" s="12"/>
      <c r="B226" s="45"/>
      <c r="C226" s="91"/>
      <c r="F226" s="11"/>
      <c r="G226" s="11"/>
      <c r="H226" s="11"/>
      <c r="I226" s="8"/>
      <c r="J226" s="95"/>
      <c r="K226" s="90"/>
      <c r="L226" s="93"/>
      <c r="M226" s="94"/>
      <c r="N226" s="6"/>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row>
    <row r="227" spans="1:61" ht="15.75">
      <c r="A227" s="12"/>
      <c r="B227" s="45"/>
      <c r="C227" s="91"/>
      <c r="D227" s="4"/>
      <c r="E227" s="11"/>
      <c r="F227" s="11"/>
      <c r="G227" s="11"/>
      <c r="H227" s="11"/>
      <c r="I227" s="8"/>
      <c r="J227" s="95"/>
      <c r="K227" s="90"/>
      <c r="L227" s="93"/>
      <c r="M227" s="94"/>
      <c r="N227" s="6"/>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row>
    <row r="228" spans="1:61" ht="20.25">
      <c r="A228" s="96"/>
      <c r="B228" s="97"/>
      <c r="C228" s="98" t="s">
        <v>73</v>
      </c>
      <c r="D228" s="96"/>
      <c r="E228" s="99"/>
      <c r="F228" s="99"/>
      <c r="G228" s="99"/>
      <c r="H228" s="99"/>
      <c r="I228" s="97"/>
      <c r="J228" s="99"/>
      <c r="K228" s="100"/>
      <c r="L228" s="101"/>
      <c r="M228" s="102"/>
      <c r="N228" s="6"/>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row>
    <row r="229" spans="1:61" ht="20.25">
      <c r="A229" s="96"/>
      <c r="B229" s="97"/>
      <c r="C229" s="98" t="s">
        <v>74</v>
      </c>
      <c r="D229" s="96"/>
      <c r="E229" s="99"/>
      <c r="F229" s="99"/>
      <c r="G229" s="99"/>
      <c r="H229" s="99"/>
      <c r="I229" s="97"/>
      <c r="J229" s="99"/>
      <c r="K229" s="100"/>
      <c r="L229" s="101"/>
      <c r="M229" s="102"/>
      <c r="N229" s="6"/>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row>
    <row r="230" spans="1:61" ht="20.25">
      <c r="A230" s="96" t="s">
        <v>75</v>
      </c>
      <c r="B230" s="97"/>
      <c r="C230" s="98"/>
      <c r="D230" s="97"/>
      <c r="E230" s="99"/>
      <c r="F230" s="99"/>
      <c r="G230" s="99"/>
      <c r="H230" s="99"/>
      <c r="I230" s="97"/>
      <c r="J230" s="99"/>
      <c r="K230" s="100"/>
      <c r="L230" s="101"/>
      <c r="M230" s="102"/>
      <c r="N230" s="6"/>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row>
    <row r="231" spans="1:61" ht="21" thickBot="1">
      <c r="A231" s="103" t="s">
        <v>76</v>
      </c>
      <c r="B231" s="97"/>
      <c r="C231" s="98"/>
      <c r="D231" s="97"/>
      <c r="E231" s="99"/>
      <c r="F231" s="99"/>
      <c r="G231" s="99"/>
      <c r="H231" s="99"/>
      <c r="I231" s="97"/>
      <c r="J231" s="99"/>
      <c r="K231" s="100"/>
      <c r="L231" s="101"/>
      <c r="M231" s="102"/>
      <c r="N231" s="6"/>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row>
    <row r="232" spans="1:61" ht="18.75">
      <c r="A232" s="96" t="s">
        <v>77</v>
      </c>
      <c r="B232" s="97"/>
      <c r="C232" s="570" t="s">
        <v>83</v>
      </c>
      <c r="D232" s="570"/>
      <c r="E232" s="570"/>
      <c r="F232" s="570"/>
      <c r="G232" s="570"/>
      <c r="H232" s="570"/>
      <c r="I232" s="570"/>
      <c r="J232" s="570"/>
      <c r="K232" s="570"/>
      <c r="L232" s="570"/>
      <c r="M232" s="105"/>
      <c r="N232" s="6"/>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row>
    <row r="233" spans="1:61" ht="18.75">
      <c r="A233" s="96"/>
      <c r="B233" s="97"/>
      <c r="C233" s="570" t="s">
        <v>687</v>
      </c>
      <c r="D233" s="570"/>
      <c r="E233" s="570"/>
      <c r="F233" s="570"/>
      <c r="G233" s="570"/>
      <c r="H233" s="570"/>
      <c r="I233" s="570"/>
      <c r="J233" s="570"/>
      <c r="K233" s="570"/>
      <c r="L233" s="570"/>
      <c r="M233" s="105"/>
      <c r="N233" s="6"/>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row>
    <row r="234" spans="1:61" ht="18.75">
      <c r="A234" s="96"/>
      <c r="B234" s="97"/>
      <c r="C234" s="570" t="str">
        <f>"  chose to utilize amortization of tax credits against taxable income as discussed in Note "&amp;A246&amp;".  Account 281 is not allocated."</f>
        <v xml:space="preserve">  chose to utilize amortization of tax credits against taxable income as discussed in Note F.  Account 281 is not allocated.</v>
      </c>
      <c r="D234" s="570"/>
      <c r="E234" s="570"/>
      <c r="F234" s="570"/>
      <c r="G234" s="570"/>
      <c r="H234" s="570"/>
      <c r="I234" s="570"/>
      <c r="J234" s="570"/>
      <c r="K234" s="570"/>
      <c r="L234" s="570"/>
      <c r="M234" s="105"/>
      <c r="N234" s="6"/>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row>
    <row r="235" spans="1:61" ht="18.75">
      <c r="A235" s="96" t="s">
        <v>78</v>
      </c>
      <c r="B235" s="97"/>
      <c r="C235" s="570" t="s">
        <v>85</v>
      </c>
      <c r="D235" s="570"/>
      <c r="E235" s="570"/>
      <c r="F235" s="570"/>
      <c r="G235" s="570"/>
      <c r="H235" s="570"/>
      <c r="I235" s="570"/>
      <c r="J235" s="570"/>
      <c r="K235" s="570"/>
      <c r="L235" s="570"/>
      <c r="M235" s="105"/>
      <c r="N235" s="6"/>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row>
    <row r="236" spans="1:61" ht="18.75">
      <c r="A236" s="96" t="s">
        <v>79</v>
      </c>
      <c r="B236" s="97"/>
      <c r="C236" s="570" t="s">
        <v>224</v>
      </c>
      <c r="D236" s="570"/>
      <c r="E236" s="570"/>
      <c r="F236" s="570"/>
      <c r="G236" s="570"/>
      <c r="H236" s="570"/>
      <c r="I236" s="570"/>
      <c r="J236" s="570"/>
      <c r="K236" s="570"/>
      <c r="L236" s="570"/>
      <c r="M236" s="105"/>
      <c r="N236" s="6"/>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row>
    <row r="237" spans="1:61" ht="18.75">
      <c r="A237" s="96"/>
      <c r="B237" s="97"/>
      <c r="C237" s="570" t="s">
        <v>87</v>
      </c>
      <c r="D237" s="570"/>
      <c r="E237" s="570"/>
      <c r="F237" s="570"/>
      <c r="G237" s="570"/>
      <c r="H237" s="570"/>
      <c r="I237" s="570"/>
      <c r="J237" s="570"/>
      <c r="K237" s="570"/>
      <c r="L237" s="570"/>
      <c r="M237" s="105"/>
      <c r="N237" s="6"/>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row>
    <row r="238" spans="1:61" s="67" customFormat="1" ht="18.75">
      <c r="B238" s="104"/>
      <c r="C238" s="645"/>
      <c r="D238" s="570"/>
      <c r="E238" s="570"/>
      <c r="F238" s="570"/>
      <c r="G238" s="570"/>
      <c r="H238" s="570"/>
      <c r="I238" s="570"/>
      <c r="J238" s="570"/>
      <c r="K238" s="645"/>
      <c r="L238" s="570"/>
      <c r="M238" s="105"/>
      <c r="N238" s="587"/>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row>
    <row r="239" spans="1:61" s="67" customFormat="1" ht="18.75">
      <c r="A239" s="413" t="s">
        <v>80</v>
      </c>
      <c r="B239" s="104"/>
      <c r="C239" s="645" t="s">
        <v>688</v>
      </c>
      <c r="D239" s="570"/>
      <c r="E239" s="570"/>
      <c r="F239" s="570"/>
      <c r="G239" s="570"/>
      <c r="H239" s="570"/>
      <c r="I239" s="570"/>
      <c r="J239" s="570"/>
      <c r="K239" s="645"/>
      <c r="L239" s="570"/>
      <c r="M239" s="105"/>
      <c r="N239" s="587"/>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row>
    <row r="240" spans="1:61" s="67" customFormat="1" ht="18.75">
      <c r="A240" s="413"/>
      <c r="B240" s="104"/>
      <c r="C240" s="645" t="s">
        <v>999</v>
      </c>
      <c r="D240" s="570"/>
      <c r="E240" s="570"/>
      <c r="F240" s="570"/>
      <c r="G240" s="570"/>
      <c r="H240" s="570"/>
      <c r="I240" s="570"/>
      <c r="J240" s="570"/>
      <c r="K240" s="570"/>
      <c r="L240" s="570"/>
      <c r="M240" s="105"/>
      <c r="N240" s="571"/>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row>
    <row r="241" spans="1:61" ht="18.75">
      <c r="A241" s="96"/>
      <c r="B241" s="97"/>
      <c r="C241" s="645" t="s">
        <v>689</v>
      </c>
      <c r="D241" s="570"/>
      <c r="E241" s="570"/>
      <c r="F241" s="570"/>
      <c r="G241" s="570"/>
      <c r="H241" s="570"/>
      <c r="I241" s="570"/>
      <c r="J241" s="570"/>
      <c r="K241" s="571"/>
      <c r="L241" s="570"/>
      <c r="M241" s="105"/>
      <c r="N241" s="58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row>
    <row r="242" spans="1:61" ht="18.75">
      <c r="A242" s="96"/>
      <c r="B242" s="97"/>
      <c r="C242" s="645" t="s">
        <v>398</v>
      </c>
      <c r="D242" s="570"/>
      <c r="E242" s="570"/>
      <c r="F242" s="570"/>
      <c r="G242" s="570"/>
      <c r="H242" s="570"/>
      <c r="I242" s="570"/>
      <c r="J242" s="570"/>
      <c r="K242" s="570"/>
      <c r="L242" s="570"/>
      <c r="M242" s="105"/>
      <c r="N242" s="58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row>
    <row r="243" spans="1:61" ht="18.75">
      <c r="A243" s="96" t="s">
        <v>81</v>
      </c>
      <c r="B243" s="97"/>
      <c r="C243" s="570" t="s">
        <v>90</v>
      </c>
      <c r="D243" s="570"/>
      <c r="E243" s="570"/>
      <c r="F243" s="570"/>
      <c r="G243" s="570"/>
      <c r="H243" s="570"/>
      <c r="I243" s="570"/>
      <c r="J243" s="570"/>
      <c r="K243" s="570"/>
      <c r="L243" s="570"/>
      <c r="M243" s="105"/>
      <c r="N243" s="6"/>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row>
    <row r="244" spans="1:61" ht="18.75">
      <c r="A244" s="96"/>
      <c r="B244" s="97"/>
      <c r="C244" s="570" t="s">
        <v>91</v>
      </c>
      <c r="D244" s="570"/>
      <c r="E244" s="570"/>
      <c r="F244" s="570"/>
      <c r="G244" s="570"/>
      <c r="H244" s="570"/>
      <c r="I244" s="570"/>
      <c r="J244" s="570"/>
      <c r="K244" s="570"/>
      <c r="L244" s="570"/>
      <c r="M244" s="105"/>
      <c r="N244" s="6"/>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row>
    <row r="245" spans="1:61" ht="18.75">
      <c r="A245" s="96"/>
      <c r="B245" s="97"/>
      <c r="C245" s="570" t="s">
        <v>502</v>
      </c>
      <c r="D245" s="570"/>
      <c r="E245" s="570"/>
      <c r="F245" s="570"/>
      <c r="G245" s="570"/>
      <c r="H245" s="570"/>
      <c r="I245" s="570"/>
      <c r="J245" s="570"/>
      <c r="K245" s="570"/>
      <c r="L245" s="570"/>
      <c r="M245" s="105"/>
      <c r="N245" s="6"/>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row>
    <row r="246" spans="1:61" ht="18.75">
      <c r="A246" s="96" t="s">
        <v>82</v>
      </c>
      <c r="B246" s="97"/>
      <c r="C246" s="570" t="s">
        <v>92</v>
      </c>
      <c r="D246" s="570"/>
      <c r="E246" s="570"/>
      <c r="F246" s="570"/>
      <c r="G246" s="570"/>
      <c r="H246" s="570"/>
      <c r="I246" s="570"/>
      <c r="J246" s="570"/>
      <c r="K246" s="570"/>
      <c r="L246" s="570"/>
      <c r="M246" s="105"/>
      <c r="N246" s="6"/>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row>
    <row r="247" spans="1:61" ht="18.75">
      <c r="A247" s="96"/>
      <c r="B247" s="97"/>
      <c r="C247" s="570" t="s">
        <v>93</v>
      </c>
      <c r="D247" s="570"/>
      <c r="E247" s="570"/>
      <c r="F247" s="570"/>
      <c r="G247" s="570"/>
      <c r="H247" s="570"/>
      <c r="I247" s="570"/>
      <c r="J247" s="570"/>
      <c r="K247" s="570"/>
      <c r="L247" s="570"/>
      <c r="M247" s="105"/>
      <c r="N247" s="6"/>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row>
    <row r="248" spans="1:61" ht="18.75">
      <c r="A248" s="96"/>
      <c r="B248" s="97"/>
      <c r="C248" s="570" t="s">
        <v>94</v>
      </c>
      <c r="D248" s="570"/>
      <c r="E248" s="570"/>
      <c r="F248" s="570"/>
      <c r="G248" s="570"/>
      <c r="H248" s="570"/>
      <c r="I248" s="570"/>
      <c r="J248" s="570"/>
      <c r="K248" s="570"/>
      <c r="L248" s="570"/>
      <c r="M248" s="105"/>
      <c r="N248" s="6"/>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row>
    <row r="249" spans="1:61" ht="18.75">
      <c r="A249" s="96"/>
      <c r="B249" s="97"/>
      <c r="C249" s="570" t="s">
        <v>95</v>
      </c>
      <c r="D249" s="570"/>
      <c r="E249" s="570"/>
      <c r="F249" s="570"/>
      <c r="G249" s="570"/>
      <c r="H249" s="570"/>
      <c r="I249" s="570"/>
      <c r="J249" s="570"/>
      <c r="K249" s="570"/>
      <c r="L249" s="570"/>
      <c r="M249" s="105"/>
      <c r="N249" s="6"/>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row>
    <row r="250" spans="1:61" ht="18.75">
      <c r="A250" s="96"/>
      <c r="B250" s="97"/>
      <c r="C250" s="570" t="s">
        <v>96</v>
      </c>
      <c r="D250" s="570"/>
      <c r="E250" s="570"/>
      <c r="F250" s="570"/>
      <c r="G250" s="570"/>
      <c r="H250" s="570"/>
      <c r="I250" s="570"/>
      <c r="J250" s="570"/>
      <c r="K250" s="570"/>
      <c r="L250" s="570"/>
      <c r="M250" s="105"/>
      <c r="N250" s="6"/>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row>
    <row r="251" spans="1:61" ht="18.75">
      <c r="A251" s="96"/>
      <c r="B251" s="97"/>
      <c r="C251" s="570" t="s">
        <v>298</v>
      </c>
      <c r="D251" s="570"/>
      <c r="E251" s="570"/>
      <c r="F251" s="570"/>
      <c r="G251" s="570"/>
      <c r="H251" s="570"/>
      <c r="I251" s="570"/>
      <c r="J251" s="570"/>
      <c r="L251" s="837"/>
      <c r="M251" s="838"/>
      <c r="N251" s="6"/>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row>
    <row r="252" spans="1:61" ht="18.75">
      <c r="A252" s="96" t="s">
        <v>8</v>
      </c>
      <c r="B252" s="97"/>
      <c r="C252" s="570" t="s">
        <v>97</v>
      </c>
      <c r="D252" s="570" t="s">
        <v>98</v>
      </c>
      <c r="E252" s="639">
        <v>0.21</v>
      </c>
      <c r="F252" s="570"/>
      <c r="G252" s="570"/>
      <c r="H252" s="570"/>
      <c r="I252" s="570"/>
      <c r="J252" s="570"/>
      <c r="K252" s="570"/>
      <c r="L252" s="570"/>
      <c r="M252" s="105"/>
      <c r="N252" s="6"/>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row>
    <row r="253" spans="1:61" ht="18.75">
      <c r="A253" s="96"/>
      <c r="B253" s="97"/>
      <c r="C253" s="570"/>
      <c r="D253" s="570" t="s">
        <v>99</v>
      </c>
      <c r="E253" s="835">
        <f>+'2a - Cost Support'!L98</f>
        <v>8.8400000000000006E-2</v>
      </c>
      <c r="F253" s="570" t="s">
        <v>935</v>
      </c>
      <c r="G253" s="570"/>
      <c r="H253" s="570"/>
      <c r="I253" s="570"/>
      <c r="J253" s="570"/>
      <c r="K253" s="570"/>
      <c r="L253" s="570"/>
      <c r="M253" s="105"/>
      <c r="N253" s="106"/>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row>
    <row r="254" spans="1:61" ht="18.75">
      <c r="A254" s="96"/>
      <c r="B254" s="97"/>
      <c r="C254" s="570"/>
      <c r="D254" s="570" t="s">
        <v>100</v>
      </c>
      <c r="E254" s="639">
        <v>0</v>
      </c>
      <c r="F254" s="570" t="s">
        <v>101</v>
      </c>
      <c r="G254" s="570"/>
      <c r="H254" s="570"/>
      <c r="I254" s="570"/>
      <c r="J254" s="570"/>
      <c r="K254" s="570"/>
      <c r="L254" s="570"/>
      <c r="M254" s="105"/>
      <c r="N254" s="6"/>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row>
    <row r="255" spans="1:61" ht="18.75">
      <c r="A255" s="96"/>
      <c r="B255" s="97"/>
      <c r="C255" s="570"/>
      <c r="D255" s="570"/>
      <c r="E255" s="639"/>
      <c r="F255" s="570" t="s">
        <v>477</v>
      </c>
      <c r="G255" s="570"/>
      <c r="H255" s="570"/>
      <c r="I255" s="570"/>
      <c r="J255" s="570"/>
      <c r="K255" s="570"/>
      <c r="L255" s="570"/>
      <c r="M255" s="105"/>
      <c r="N255" s="6"/>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row>
    <row r="256" spans="1:61" ht="18.75">
      <c r="A256" s="96"/>
      <c r="B256" s="97"/>
      <c r="C256" s="645" t="s">
        <v>3</v>
      </c>
      <c r="D256" s="570"/>
      <c r="E256" s="646"/>
      <c r="F256" s="570"/>
      <c r="G256" s="570"/>
      <c r="H256" s="570"/>
      <c r="I256" s="570"/>
      <c r="J256" s="570"/>
      <c r="K256" s="570"/>
      <c r="L256" s="570"/>
      <c r="M256" s="105"/>
      <c r="N256" s="6"/>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row>
    <row r="257" spans="1:256" ht="18.75">
      <c r="A257" s="96"/>
      <c r="B257" s="97"/>
      <c r="C257" s="570" t="s">
        <v>4</v>
      </c>
      <c r="D257" s="570"/>
      <c r="E257" s="646"/>
      <c r="F257" s="570"/>
      <c r="G257" s="570"/>
      <c r="H257" s="570"/>
      <c r="I257" s="570"/>
      <c r="J257" s="570"/>
      <c r="K257" s="570"/>
      <c r="L257" s="570"/>
      <c r="M257" s="105"/>
      <c r="N257" s="6"/>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row>
    <row r="258" spans="1:256" ht="18.75">
      <c r="A258" s="96"/>
      <c r="B258" s="97"/>
      <c r="C258" s="570" t="s">
        <v>365</v>
      </c>
      <c r="D258" s="570"/>
      <c r="E258" s="646"/>
      <c r="F258" s="570"/>
      <c r="G258" s="570"/>
      <c r="H258" s="570"/>
      <c r="I258" s="570"/>
      <c r="J258" s="570"/>
      <c r="K258" s="570"/>
      <c r="L258" s="570"/>
      <c r="M258" s="105"/>
      <c r="N258" s="6"/>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row>
    <row r="259" spans="1:256" ht="101.25" customHeight="1">
      <c r="A259" s="1151" t="s">
        <v>84</v>
      </c>
      <c r="B259" s="97"/>
      <c r="C259" s="1518" t="s">
        <v>1000</v>
      </c>
      <c r="D259" s="1518"/>
      <c r="E259" s="1518"/>
      <c r="F259" s="1518"/>
      <c r="G259" s="1518"/>
      <c r="H259" s="1518"/>
      <c r="I259" s="1518"/>
      <c r="J259" s="1518"/>
      <c r="K259" s="1518"/>
      <c r="L259" s="1518"/>
      <c r="M259" s="105"/>
      <c r="N259" s="6"/>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row>
    <row r="260" spans="1:256" ht="18.75">
      <c r="A260" s="96" t="s">
        <v>86</v>
      </c>
      <c r="B260" s="97"/>
      <c r="C260" s="570" t="s">
        <v>102</v>
      </c>
      <c r="D260" s="570"/>
      <c r="E260" s="570"/>
      <c r="F260" s="570"/>
      <c r="G260" s="570"/>
      <c r="H260" s="570"/>
      <c r="I260" s="570"/>
      <c r="J260" s="570"/>
      <c r="K260" s="570"/>
      <c r="L260" s="570"/>
      <c r="M260" s="105"/>
      <c r="N260" s="6"/>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row>
    <row r="261" spans="1:256" ht="18.75">
      <c r="A261" s="96"/>
      <c r="B261" s="97"/>
      <c r="C261" s="570" t="s">
        <v>103</v>
      </c>
      <c r="D261" s="570"/>
      <c r="E261" s="570"/>
      <c r="F261" s="570"/>
      <c r="G261" s="570"/>
      <c r="H261" s="570"/>
      <c r="I261" s="570"/>
      <c r="J261" s="570"/>
      <c r="K261" s="570"/>
      <c r="L261" s="570"/>
      <c r="M261" s="105"/>
      <c r="N261" s="6"/>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row>
    <row r="262" spans="1:256" ht="18.75">
      <c r="A262" s="96"/>
      <c r="B262" s="97"/>
      <c r="C262" s="570" t="s">
        <v>104</v>
      </c>
      <c r="D262" s="570"/>
      <c r="E262" s="570"/>
      <c r="F262" s="570"/>
      <c r="G262" s="570"/>
      <c r="H262" s="570"/>
      <c r="I262" s="570"/>
      <c r="J262" s="570"/>
      <c r="K262" s="570"/>
      <c r="L262" s="570"/>
      <c r="M262" s="105"/>
      <c r="N262" s="6"/>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row>
    <row r="263" spans="1:256" ht="18.75">
      <c r="A263" s="96" t="s">
        <v>88</v>
      </c>
      <c r="B263" s="97"/>
      <c r="C263" s="570" t="s">
        <v>1038</v>
      </c>
      <c r="D263" s="570"/>
      <c r="E263" s="570"/>
      <c r="F263" s="570"/>
      <c r="G263" s="570"/>
      <c r="H263" s="570"/>
      <c r="I263" s="570"/>
      <c r="J263" s="570"/>
      <c r="K263" s="570"/>
      <c r="L263" s="570"/>
      <c r="M263" s="105"/>
      <c r="N263" s="6"/>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row>
    <row r="264" spans="1:256" ht="18.75">
      <c r="A264" s="96" t="s">
        <v>89</v>
      </c>
      <c r="B264" s="104"/>
      <c r="C264" s="812" t="s">
        <v>468</v>
      </c>
      <c r="D264" s="570"/>
      <c r="E264" s="570"/>
      <c r="F264" s="570"/>
      <c r="G264" s="570"/>
      <c r="H264" s="570"/>
      <c r="I264" s="570"/>
      <c r="J264" s="570"/>
      <c r="K264" s="570"/>
      <c r="L264" s="570"/>
      <c r="M264" s="105"/>
      <c r="N264" s="6"/>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row>
    <row r="265" spans="1:256" ht="13.5" customHeight="1">
      <c r="A265" s="444"/>
      <c r="B265" s="444"/>
      <c r="C265" s="1519" t="s">
        <v>936</v>
      </c>
      <c r="D265" s="1519"/>
      <c r="E265" s="1519"/>
      <c r="F265" s="1519"/>
      <c r="G265" s="1519"/>
      <c r="H265" s="1519"/>
      <c r="I265" s="1519"/>
      <c r="J265" s="1519"/>
      <c r="K265" s="1519"/>
      <c r="L265" s="1519"/>
      <c r="M265" s="444"/>
      <c r="N265" s="444"/>
      <c r="O265" s="444"/>
      <c r="P265" s="444"/>
      <c r="Q265" s="444"/>
      <c r="R265" s="444"/>
      <c r="S265" s="444"/>
      <c r="T265" s="444"/>
      <c r="U265" s="444"/>
      <c r="V265" s="444"/>
      <c r="W265" s="444"/>
      <c r="X265" s="444"/>
      <c r="Y265" s="444"/>
      <c r="Z265" s="444"/>
      <c r="AA265" s="444"/>
      <c r="AB265" s="444"/>
      <c r="AC265" s="444"/>
      <c r="AD265" s="444"/>
      <c r="AE265" s="444"/>
      <c r="AF265" s="444"/>
      <c r="AG265" s="444"/>
      <c r="AH265" s="444"/>
      <c r="AI265" s="444"/>
      <c r="AJ265" s="444"/>
      <c r="AK265" s="444"/>
      <c r="AL265" s="444"/>
      <c r="AM265" s="444"/>
      <c r="AN265" s="444"/>
      <c r="AO265" s="444"/>
      <c r="AP265" s="444"/>
      <c r="AQ265" s="444"/>
      <c r="AR265" s="444"/>
      <c r="AS265" s="444"/>
      <c r="AT265" s="444"/>
      <c r="AU265" s="444"/>
      <c r="AV265" s="444"/>
      <c r="AW265" s="444"/>
      <c r="AX265" s="444"/>
      <c r="AY265" s="444"/>
      <c r="AZ265" s="444"/>
      <c r="BA265" s="444"/>
      <c r="BB265" s="444"/>
      <c r="BC265" s="444"/>
      <c r="BD265" s="444"/>
      <c r="BE265" s="444"/>
      <c r="BF265" s="444"/>
      <c r="BG265" s="444"/>
      <c r="BH265" s="444"/>
      <c r="BI265" s="444"/>
      <c r="BJ265" s="444"/>
      <c r="BK265" s="444"/>
      <c r="BL265" s="444"/>
      <c r="BM265" s="444"/>
      <c r="BN265" s="444"/>
      <c r="BO265" s="444"/>
      <c r="BP265" s="444"/>
      <c r="BQ265" s="444"/>
      <c r="BR265" s="444"/>
      <c r="BS265" s="444"/>
      <c r="BT265" s="444"/>
      <c r="BU265" s="444"/>
      <c r="BV265" s="444"/>
      <c r="BW265" s="444"/>
      <c r="BX265" s="444"/>
      <c r="BY265" s="444"/>
      <c r="BZ265" s="444"/>
      <c r="CA265" s="444"/>
      <c r="CB265" s="444"/>
      <c r="CC265" s="444"/>
      <c r="CD265" s="444"/>
      <c r="CE265" s="444"/>
      <c r="CF265" s="444"/>
      <c r="CG265" s="444"/>
      <c r="CH265" s="444"/>
      <c r="CI265" s="444"/>
      <c r="CJ265" s="444"/>
      <c r="CK265" s="444"/>
      <c r="CL265" s="444"/>
      <c r="CM265" s="444"/>
      <c r="CN265" s="444"/>
      <c r="CO265" s="444"/>
      <c r="CP265" s="444"/>
      <c r="CQ265" s="444"/>
      <c r="CR265" s="444"/>
      <c r="CS265" s="444"/>
      <c r="CT265" s="444"/>
      <c r="CU265" s="444"/>
      <c r="CV265" s="444"/>
      <c r="CW265" s="444"/>
      <c r="CX265" s="444"/>
      <c r="CY265" s="444"/>
      <c r="CZ265" s="444"/>
      <c r="DA265" s="444"/>
      <c r="DB265" s="444"/>
      <c r="DC265" s="444"/>
      <c r="DD265" s="444"/>
      <c r="DE265" s="444"/>
      <c r="DF265" s="444"/>
      <c r="DG265" s="444"/>
      <c r="DH265" s="444"/>
      <c r="DI265" s="444"/>
      <c r="DJ265" s="444"/>
      <c r="DK265" s="444"/>
      <c r="DL265" s="444"/>
      <c r="DM265" s="444"/>
      <c r="DN265" s="444"/>
      <c r="DO265" s="444"/>
      <c r="DP265" s="444"/>
      <c r="DQ265" s="444"/>
      <c r="DR265" s="444"/>
      <c r="DS265" s="444"/>
      <c r="DT265" s="444"/>
      <c r="DU265" s="444"/>
      <c r="DV265" s="444"/>
      <c r="DW265" s="444"/>
      <c r="DX265" s="444"/>
      <c r="DY265" s="444"/>
      <c r="DZ265" s="444"/>
      <c r="EA265" s="444"/>
      <c r="EB265" s="444"/>
      <c r="EC265" s="444"/>
      <c r="ED265" s="444"/>
      <c r="EE265" s="444"/>
      <c r="EF265" s="444"/>
      <c r="EG265" s="444"/>
      <c r="EH265" s="444"/>
      <c r="EI265" s="444"/>
      <c r="EJ265" s="444"/>
      <c r="EK265" s="444"/>
      <c r="EL265" s="444"/>
      <c r="EM265" s="444"/>
      <c r="EN265" s="444"/>
      <c r="EO265" s="444"/>
      <c r="EP265" s="444"/>
      <c r="EQ265" s="444"/>
      <c r="ER265" s="444"/>
      <c r="ES265" s="444"/>
      <c r="ET265" s="444"/>
      <c r="EU265" s="444"/>
      <c r="EV265" s="444"/>
      <c r="EW265" s="444"/>
      <c r="EX265" s="444"/>
      <c r="EY265" s="444"/>
      <c r="EZ265" s="444"/>
      <c r="FA265" s="444"/>
      <c r="FB265" s="444"/>
      <c r="FC265" s="444"/>
      <c r="FD265" s="444"/>
      <c r="FE265" s="444"/>
      <c r="FF265" s="444"/>
      <c r="FG265" s="444"/>
      <c r="FH265" s="444"/>
      <c r="FI265" s="444"/>
      <c r="FJ265" s="444"/>
      <c r="FK265" s="444"/>
      <c r="FL265" s="444"/>
      <c r="FM265" s="444"/>
      <c r="FN265" s="444"/>
      <c r="FO265" s="444"/>
      <c r="FP265" s="444"/>
      <c r="FQ265" s="444"/>
      <c r="FR265" s="444"/>
      <c r="FS265" s="444"/>
      <c r="FT265" s="444"/>
      <c r="FU265" s="444"/>
      <c r="FV265" s="444"/>
      <c r="FW265" s="444"/>
      <c r="FX265" s="444"/>
      <c r="FY265" s="444"/>
      <c r="FZ265" s="444"/>
      <c r="GA265" s="444"/>
      <c r="GB265" s="444"/>
      <c r="GC265" s="444"/>
      <c r="GD265" s="444"/>
      <c r="GE265" s="444"/>
      <c r="GF265" s="444"/>
      <c r="GG265" s="444"/>
      <c r="GH265" s="444"/>
      <c r="GI265" s="444"/>
      <c r="GJ265" s="444"/>
      <c r="GK265" s="444"/>
      <c r="GL265" s="444"/>
      <c r="GM265" s="444"/>
      <c r="GN265" s="444"/>
      <c r="GO265" s="444"/>
      <c r="GP265" s="444"/>
      <c r="GQ265" s="444"/>
      <c r="GR265" s="444"/>
      <c r="GS265" s="444"/>
      <c r="GT265" s="444"/>
      <c r="GU265" s="444"/>
      <c r="GV265" s="444"/>
      <c r="GW265" s="444"/>
      <c r="GX265" s="444"/>
      <c r="GY265" s="444"/>
      <c r="GZ265" s="444"/>
      <c r="HA265" s="444"/>
      <c r="HB265" s="444"/>
      <c r="HC265" s="444"/>
      <c r="HD265" s="444"/>
      <c r="HE265" s="444"/>
      <c r="HF265" s="444"/>
      <c r="HG265" s="444"/>
      <c r="HH265" s="444"/>
      <c r="HI265" s="444"/>
      <c r="HJ265" s="444"/>
      <c r="HK265" s="444"/>
      <c r="HL265" s="444"/>
      <c r="HM265" s="444"/>
      <c r="HN265" s="444"/>
      <c r="HO265" s="444"/>
      <c r="HP265" s="444"/>
      <c r="HQ265" s="444"/>
      <c r="HR265" s="444"/>
      <c r="HS265" s="444"/>
      <c r="HT265" s="444"/>
      <c r="HU265" s="444"/>
      <c r="HV265" s="444"/>
      <c r="HW265" s="444"/>
      <c r="HX265" s="444"/>
      <c r="HY265" s="444"/>
      <c r="HZ265" s="444"/>
      <c r="IA265" s="444"/>
      <c r="IB265" s="444"/>
      <c r="IC265" s="444"/>
      <c r="ID265" s="444"/>
      <c r="IE265" s="444"/>
      <c r="IF265" s="444"/>
      <c r="IG265" s="444"/>
      <c r="IH265" s="444"/>
      <c r="II265" s="444"/>
      <c r="IJ265" s="444"/>
      <c r="IK265" s="444"/>
      <c r="IL265" s="444"/>
      <c r="IM265" s="444"/>
      <c r="IN265" s="444"/>
      <c r="IO265" s="444"/>
      <c r="IP265" s="444"/>
      <c r="IQ265" s="444"/>
      <c r="IR265" s="444"/>
      <c r="IS265" s="444"/>
      <c r="IT265" s="444"/>
      <c r="IU265" s="444"/>
      <c r="IV265" s="444"/>
    </row>
    <row r="266" spans="1:256" ht="27.75" customHeight="1">
      <c r="A266" s="444"/>
      <c r="B266" s="444"/>
      <c r="C266" s="1519"/>
      <c r="D266" s="1519"/>
      <c r="E266" s="1519"/>
      <c r="F266" s="1519"/>
      <c r="G266" s="1519"/>
      <c r="H266" s="1519"/>
      <c r="I266" s="1519"/>
      <c r="J266" s="1519"/>
      <c r="K266" s="1519"/>
      <c r="L266" s="1519"/>
      <c r="M266" s="444"/>
      <c r="N266" s="444"/>
      <c r="O266" s="444"/>
      <c r="P266" s="444"/>
      <c r="Q266" s="444"/>
      <c r="R266" s="444"/>
      <c r="S266" s="444"/>
      <c r="T266" s="444"/>
      <c r="U266" s="444"/>
      <c r="V266" s="444"/>
      <c r="W266" s="444"/>
      <c r="X266" s="444"/>
      <c r="Y266" s="444"/>
      <c r="Z266" s="444"/>
      <c r="AA266" s="444"/>
      <c r="AB266" s="444"/>
      <c r="AC266" s="444"/>
      <c r="AD266" s="444"/>
      <c r="AE266" s="444"/>
      <c r="AF266" s="444"/>
      <c r="AG266" s="444"/>
      <c r="AH266" s="444"/>
      <c r="AI266" s="444"/>
      <c r="AJ266" s="444"/>
      <c r="AK266" s="444"/>
      <c r="AL266" s="444"/>
      <c r="AM266" s="444"/>
      <c r="AN266" s="444"/>
      <c r="AO266" s="444"/>
      <c r="AP266" s="444"/>
      <c r="AQ266" s="444"/>
      <c r="AR266" s="444"/>
      <c r="AS266" s="444"/>
      <c r="AT266" s="444"/>
      <c r="AU266" s="444"/>
      <c r="AV266" s="444"/>
      <c r="AW266" s="444"/>
      <c r="AX266" s="444"/>
      <c r="AY266" s="444"/>
      <c r="AZ266" s="444"/>
      <c r="BA266" s="444"/>
      <c r="BB266" s="444"/>
      <c r="BC266" s="444"/>
      <c r="BD266" s="444"/>
      <c r="BE266" s="444"/>
      <c r="BF266" s="444"/>
      <c r="BG266" s="444"/>
      <c r="BH266" s="444"/>
      <c r="BI266" s="444"/>
      <c r="BJ266" s="444"/>
      <c r="BK266" s="444"/>
      <c r="BL266" s="444"/>
      <c r="BM266" s="444"/>
      <c r="BN266" s="444"/>
      <c r="BO266" s="444"/>
      <c r="BP266" s="444"/>
      <c r="BQ266" s="444"/>
      <c r="BR266" s="444"/>
      <c r="BS266" s="444"/>
      <c r="BT266" s="444"/>
      <c r="BU266" s="444"/>
      <c r="BV266" s="444"/>
      <c r="BW266" s="444"/>
      <c r="BX266" s="444"/>
      <c r="BY266" s="444"/>
      <c r="BZ266" s="444"/>
      <c r="CA266" s="444"/>
      <c r="CB266" s="444"/>
      <c r="CC266" s="444"/>
      <c r="CD266" s="444"/>
      <c r="CE266" s="444"/>
      <c r="CF266" s="444"/>
      <c r="CG266" s="444"/>
      <c r="CH266" s="444"/>
      <c r="CI266" s="444"/>
      <c r="CJ266" s="444"/>
      <c r="CK266" s="444"/>
      <c r="CL266" s="444"/>
      <c r="CM266" s="444"/>
      <c r="CN266" s="444"/>
      <c r="CO266" s="444"/>
      <c r="CP266" s="444"/>
      <c r="CQ266" s="444"/>
      <c r="CR266" s="444"/>
      <c r="CS266" s="444"/>
      <c r="CT266" s="444"/>
      <c r="CU266" s="444"/>
      <c r="CV266" s="444"/>
      <c r="CW266" s="444"/>
      <c r="CX266" s="444"/>
      <c r="CY266" s="444"/>
      <c r="CZ266" s="444"/>
      <c r="DA266" s="444"/>
      <c r="DB266" s="444"/>
      <c r="DC266" s="444"/>
      <c r="DD266" s="444"/>
      <c r="DE266" s="444"/>
      <c r="DF266" s="444"/>
      <c r="DG266" s="444"/>
      <c r="DH266" s="444"/>
      <c r="DI266" s="444"/>
      <c r="DJ266" s="444"/>
      <c r="DK266" s="444"/>
      <c r="DL266" s="444"/>
      <c r="DM266" s="444"/>
      <c r="DN266" s="444"/>
      <c r="DO266" s="444"/>
      <c r="DP266" s="444"/>
      <c r="DQ266" s="444"/>
      <c r="DR266" s="444"/>
      <c r="DS266" s="444"/>
      <c r="DT266" s="444"/>
      <c r="DU266" s="444"/>
      <c r="DV266" s="444"/>
      <c r="DW266" s="444"/>
      <c r="DX266" s="444"/>
      <c r="DY266" s="444"/>
      <c r="DZ266" s="444"/>
      <c r="EA266" s="444"/>
      <c r="EB266" s="444"/>
      <c r="EC266" s="444"/>
      <c r="ED266" s="444"/>
      <c r="EE266" s="444"/>
      <c r="EF266" s="444"/>
      <c r="EG266" s="444"/>
      <c r="EH266" s="444"/>
      <c r="EI266" s="444"/>
      <c r="EJ266" s="444"/>
      <c r="EK266" s="444"/>
      <c r="EL266" s="444"/>
      <c r="EM266" s="444"/>
      <c r="EN266" s="444"/>
      <c r="EO266" s="444"/>
      <c r="EP266" s="444"/>
      <c r="EQ266" s="444"/>
      <c r="ER266" s="444"/>
      <c r="ES266" s="444"/>
      <c r="ET266" s="444"/>
      <c r="EU266" s="444"/>
      <c r="EV266" s="444"/>
      <c r="EW266" s="444"/>
      <c r="EX266" s="444"/>
      <c r="EY266" s="444"/>
      <c r="EZ266" s="444"/>
      <c r="FA266" s="444"/>
      <c r="FB266" s="444"/>
      <c r="FC266" s="444"/>
      <c r="FD266" s="444"/>
      <c r="FE266" s="444"/>
      <c r="FF266" s="444"/>
      <c r="FG266" s="444"/>
      <c r="FH266" s="444"/>
      <c r="FI266" s="444"/>
      <c r="FJ266" s="444"/>
      <c r="FK266" s="444"/>
      <c r="FL266" s="444"/>
      <c r="FM266" s="444"/>
      <c r="FN266" s="444"/>
      <c r="FO266" s="444"/>
      <c r="FP266" s="444"/>
      <c r="FQ266" s="444"/>
      <c r="FR266" s="444"/>
      <c r="FS266" s="444"/>
      <c r="FT266" s="444"/>
      <c r="FU266" s="444"/>
      <c r="FV266" s="444"/>
      <c r="FW266" s="444"/>
      <c r="FX266" s="444"/>
      <c r="FY266" s="444"/>
      <c r="FZ266" s="444"/>
      <c r="GA266" s="444"/>
      <c r="GB266" s="444"/>
      <c r="GC266" s="444"/>
      <c r="GD266" s="444"/>
      <c r="GE266" s="444"/>
      <c r="GF266" s="444"/>
      <c r="GG266" s="444"/>
      <c r="GH266" s="444"/>
      <c r="GI266" s="444"/>
      <c r="GJ266" s="444"/>
      <c r="GK266" s="444"/>
      <c r="GL266" s="444"/>
      <c r="GM266" s="444"/>
      <c r="GN266" s="444"/>
      <c r="GO266" s="444"/>
      <c r="GP266" s="444"/>
      <c r="GQ266" s="444"/>
      <c r="GR266" s="444"/>
      <c r="GS266" s="444"/>
      <c r="GT266" s="444"/>
      <c r="GU266" s="444"/>
      <c r="GV266" s="444"/>
      <c r="GW266" s="444"/>
      <c r="GX266" s="444"/>
      <c r="GY266" s="444"/>
      <c r="GZ266" s="444"/>
      <c r="HA266" s="444"/>
      <c r="HB266" s="444"/>
      <c r="HC266" s="444"/>
      <c r="HD266" s="444"/>
      <c r="HE266" s="444"/>
      <c r="HF266" s="444"/>
      <c r="HG266" s="444"/>
      <c r="HH266" s="444"/>
      <c r="HI266" s="444"/>
      <c r="HJ266" s="444"/>
      <c r="HK266" s="444"/>
      <c r="HL266" s="444"/>
      <c r="HM266" s="444"/>
      <c r="HN266" s="444"/>
      <c r="HO266" s="444"/>
      <c r="HP266" s="444"/>
      <c r="HQ266" s="444"/>
      <c r="HR266" s="444"/>
      <c r="HS266" s="444"/>
      <c r="HT266" s="444"/>
      <c r="HU266" s="444"/>
      <c r="HV266" s="444"/>
      <c r="HW266" s="444"/>
      <c r="HX266" s="444"/>
      <c r="HY266" s="444"/>
      <c r="HZ266" s="444"/>
      <c r="IA266" s="444"/>
      <c r="IB266" s="444"/>
      <c r="IC266" s="444"/>
      <c r="ID266" s="444"/>
      <c r="IE266" s="444"/>
      <c r="IF266" s="444"/>
      <c r="IG266" s="444"/>
      <c r="IH266" s="444"/>
      <c r="II266" s="444"/>
      <c r="IJ266" s="444"/>
      <c r="IK266" s="444"/>
      <c r="IL266" s="444"/>
      <c r="IM266" s="444"/>
      <c r="IN266" s="444"/>
      <c r="IO266" s="444"/>
      <c r="IP266" s="444"/>
      <c r="IQ266" s="444"/>
      <c r="IR266" s="444"/>
      <c r="IS266" s="444"/>
      <c r="IT266" s="444"/>
      <c r="IU266" s="444"/>
      <c r="IV266" s="444"/>
    </row>
    <row r="267" spans="1:256" ht="15.75" customHeight="1">
      <c r="A267" s="444"/>
      <c r="B267" s="444"/>
      <c r="C267" s="1519" t="s">
        <v>1058</v>
      </c>
      <c r="D267" s="1519"/>
      <c r="E267" s="1519"/>
      <c r="F267" s="1519"/>
      <c r="G267" s="1519"/>
      <c r="H267" s="1519"/>
      <c r="I267" s="1519"/>
      <c r="J267" s="1519"/>
      <c r="K267" s="1519"/>
      <c r="L267" s="1519"/>
      <c r="M267" s="444"/>
      <c r="N267" s="444"/>
      <c r="O267" s="444"/>
      <c r="P267" s="444"/>
      <c r="Q267" s="444"/>
      <c r="R267" s="444"/>
      <c r="S267" s="444"/>
      <c r="T267" s="444"/>
      <c r="U267" s="444"/>
      <c r="V267" s="444"/>
      <c r="W267" s="444"/>
      <c r="X267" s="444"/>
      <c r="Y267" s="444"/>
      <c r="Z267" s="444"/>
      <c r="AA267" s="444"/>
      <c r="AB267" s="444"/>
      <c r="AC267" s="444"/>
      <c r="AD267" s="444"/>
      <c r="AE267" s="444"/>
      <c r="AF267" s="444"/>
      <c r="AG267" s="444"/>
      <c r="AH267" s="444"/>
      <c r="AI267" s="444"/>
      <c r="AJ267" s="444"/>
      <c r="AK267" s="444"/>
      <c r="AL267" s="444"/>
      <c r="AM267" s="444"/>
      <c r="AN267" s="444"/>
      <c r="AO267" s="444"/>
      <c r="AP267" s="444"/>
      <c r="AQ267" s="444"/>
      <c r="AR267" s="444"/>
      <c r="AS267" s="444"/>
      <c r="AT267" s="444"/>
      <c r="AU267" s="444"/>
      <c r="AV267" s="444"/>
      <c r="AW267" s="444"/>
      <c r="AX267" s="444"/>
      <c r="AY267" s="444"/>
      <c r="AZ267" s="444"/>
      <c r="BA267" s="444"/>
      <c r="BB267" s="444"/>
      <c r="BC267" s="444"/>
      <c r="BD267" s="444"/>
      <c r="BE267" s="444"/>
      <c r="BF267" s="444"/>
      <c r="BG267" s="444"/>
      <c r="BH267" s="444"/>
      <c r="BI267" s="444"/>
      <c r="BJ267" s="444"/>
      <c r="BK267" s="444"/>
      <c r="BL267" s="444"/>
      <c r="BM267" s="444"/>
      <c r="BN267" s="444"/>
      <c r="BO267" s="444"/>
      <c r="BP267" s="444"/>
      <c r="BQ267" s="444"/>
      <c r="BR267" s="444"/>
      <c r="BS267" s="444"/>
      <c r="BT267" s="444"/>
      <c r="BU267" s="444"/>
      <c r="BV267" s="444"/>
      <c r="BW267" s="444"/>
      <c r="BX267" s="444"/>
      <c r="BY267" s="444"/>
      <c r="BZ267" s="444"/>
      <c r="CA267" s="444"/>
      <c r="CB267" s="444"/>
      <c r="CC267" s="444"/>
      <c r="CD267" s="444"/>
      <c r="CE267" s="444"/>
      <c r="CF267" s="444"/>
      <c r="CG267" s="444"/>
      <c r="CH267" s="444"/>
      <c r="CI267" s="444"/>
      <c r="CJ267" s="444"/>
      <c r="CK267" s="444"/>
      <c r="CL267" s="444"/>
      <c r="CM267" s="444"/>
      <c r="CN267" s="444"/>
      <c r="CO267" s="444"/>
      <c r="CP267" s="444"/>
      <c r="CQ267" s="444"/>
      <c r="CR267" s="444"/>
      <c r="CS267" s="444"/>
      <c r="CT267" s="444"/>
      <c r="CU267" s="444"/>
      <c r="CV267" s="444"/>
      <c r="CW267" s="444"/>
      <c r="CX267" s="444"/>
      <c r="CY267" s="444"/>
      <c r="CZ267" s="444"/>
      <c r="DA267" s="444"/>
      <c r="DB267" s="444"/>
      <c r="DC267" s="444"/>
      <c r="DD267" s="444"/>
      <c r="DE267" s="444"/>
      <c r="DF267" s="444"/>
      <c r="DG267" s="444"/>
      <c r="DH267" s="444"/>
      <c r="DI267" s="444"/>
      <c r="DJ267" s="444"/>
      <c r="DK267" s="444"/>
      <c r="DL267" s="444"/>
      <c r="DM267" s="444"/>
      <c r="DN267" s="444"/>
      <c r="DO267" s="444"/>
      <c r="DP267" s="444"/>
      <c r="DQ267" s="444"/>
      <c r="DR267" s="444"/>
      <c r="DS267" s="444"/>
      <c r="DT267" s="444"/>
      <c r="DU267" s="444"/>
      <c r="DV267" s="444"/>
      <c r="DW267" s="444"/>
      <c r="DX267" s="444"/>
      <c r="DY267" s="444"/>
      <c r="DZ267" s="444"/>
      <c r="EA267" s="444"/>
      <c r="EB267" s="444"/>
      <c r="EC267" s="444"/>
      <c r="ED267" s="444"/>
      <c r="EE267" s="444"/>
      <c r="EF267" s="444"/>
      <c r="EG267" s="444"/>
      <c r="EH267" s="444"/>
      <c r="EI267" s="444"/>
      <c r="EJ267" s="444"/>
      <c r="EK267" s="444"/>
      <c r="EL267" s="444"/>
      <c r="EM267" s="444"/>
      <c r="EN267" s="444"/>
      <c r="EO267" s="444"/>
      <c r="EP267" s="444"/>
      <c r="EQ267" s="444"/>
      <c r="ER267" s="444"/>
      <c r="ES267" s="444"/>
      <c r="ET267" s="444"/>
      <c r="EU267" s="444"/>
      <c r="EV267" s="444"/>
      <c r="EW267" s="444"/>
      <c r="EX267" s="444"/>
      <c r="EY267" s="444"/>
      <c r="EZ267" s="444"/>
      <c r="FA267" s="444"/>
      <c r="FB267" s="444"/>
      <c r="FC267" s="444"/>
      <c r="FD267" s="444"/>
      <c r="FE267" s="444"/>
      <c r="FF267" s="444"/>
      <c r="FG267" s="444"/>
      <c r="FH267" s="444"/>
      <c r="FI267" s="444"/>
      <c r="FJ267" s="444"/>
      <c r="FK267" s="444"/>
      <c r="FL267" s="444"/>
      <c r="FM267" s="444"/>
      <c r="FN267" s="444"/>
      <c r="FO267" s="444"/>
      <c r="FP267" s="444"/>
      <c r="FQ267" s="444"/>
      <c r="FR267" s="444"/>
      <c r="FS267" s="444"/>
      <c r="FT267" s="444"/>
      <c r="FU267" s="444"/>
      <c r="FV267" s="444"/>
      <c r="FW267" s="444"/>
      <c r="FX267" s="444"/>
      <c r="FY267" s="444"/>
      <c r="FZ267" s="444"/>
      <c r="GA267" s="444"/>
      <c r="GB267" s="444"/>
      <c r="GC267" s="444"/>
      <c r="GD267" s="444"/>
      <c r="GE267" s="444"/>
      <c r="GF267" s="444"/>
      <c r="GG267" s="444"/>
      <c r="GH267" s="444"/>
      <c r="GI267" s="444"/>
      <c r="GJ267" s="444"/>
      <c r="GK267" s="444"/>
      <c r="GL267" s="444"/>
      <c r="GM267" s="444"/>
      <c r="GN267" s="444"/>
      <c r="GO267" s="444"/>
      <c r="GP267" s="444"/>
      <c r="GQ267" s="444"/>
      <c r="GR267" s="444"/>
      <c r="GS267" s="444"/>
      <c r="GT267" s="444"/>
      <c r="GU267" s="444"/>
      <c r="GV267" s="444"/>
      <c r="GW267" s="444"/>
      <c r="GX267" s="444"/>
      <c r="GY267" s="444"/>
      <c r="GZ267" s="444"/>
      <c r="HA267" s="444"/>
      <c r="HB267" s="444"/>
      <c r="HC267" s="444"/>
      <c r="HD267" s="444"/>
      <c r="HE267" s="444"/>
      <c r="HF267" s="444"/>
      <c r="HG267" s="444"/>
      <c r="HH267" s="444"/>
      <c r="HI267" s="444"/>
      <c r="HJ267" s="444"/>
      <c r="HK267" s="444"/>
      <c r="HL267" s="444"/>
      <c r="HM267" s="444"/>
      <c r="HN267" s="444"/>
      <c r="HO267" s="444"/>
      <c r="HP267" s="444"/>
      <c r="HQ267" s="444"/>
      <c r="HR267" s="444"/>
      <c r="HS267" s="444"/>
      <c r="HT267" s="444"/>
      <c r="HU267" s="444"/>
      <c r="HV267" s="444"/>
      <c r="HW267" s="444"/>
      <c r="HX267" s="444"/>
      <c r="HY267" s="444"/>
      <c r="HZ267" s="444"/>
      <c r="IA267" s="444"/>
      <c r="IB267" s="444"/>
      <c r="IC267" s="444"/>
      <c r="ID267" s="444"/>
      <c r="IE267" s="444"/>
      <c r="IF267" s="444"/>
      <c r="IG267" s="444"/>
      <c r="IH267" s="444"/>
      <c r="II267" s="444"/>
      <c r="IJ267" s="444"/>
      <c r="IK267" s="444"/>
      <c r="IL267" s="444"/>
      <c r="IM267" s="444"/>
      <c r="IN267" s="444"/>
      <c r="IO267" s="444"/>
      <c r="IP267" s="444"/>
      <c r="IQ267" s="444"/>
      <c r="IR267" s="444"/>
      <c r="IS267" s="444"/>
      <c r="IT267" s="444"/>
      <c r="IU267" s="444"/>
      <c r="IV267" s="444"/>
    </row>
    <row r="268" spans="1:256" ht="15.75" customHeight="1">
      <c r="A268" s="444"/>
      <c r="B268" s="444"/>
      <c r="C268" s="1519"/>
      <c r="D268" s="1519"/>
      <c r="E268" s="1519"/>
      <c r="F268" s="1519"/>
      <c r="G268" s="1519"/>
      <c r="H268" s="1519"/>
      <c r="I268" s="1519"/>
      <c r="J268" s="1519"/>
      <c r="K268" s="1519"/>
      <c r="L268" s="1519"/>
      <c r="M268" s="444"/>
      <c r="N268" s="444"/>
      <c r="O268" s="444"/>
      <c r="P268" s="444"/>
      <c r="Q268" s="444"/>
      <c r="R268" s="444"/>
      <c r="S268" s="444"/>
      <c r="T268" s="444"/>
      <c r="U268" s="444"/>
      <c r="V268" s="444"/>
      <c r="W268" s="444"/>
      <c r="X268" s="444"/>
      <c r="Y268" s="444"/>
      <c r="Z268" s="444"/>
      <c r="AA268" s="444"/>
      <c r="AB268" s="444"/>
      <c r="AC268" s="444"/>
      <c r="AD268" s="444"/>
      <c r="AE268" s="444"/>
      <c r="AF268" s="444"/>
      <c r="AG268" s="444"/>
      <c r="AH268" s="444"/>
      <c r="AI268" s="444"/>
      <c r="AJ268" s="444"/>
      <c r="AK268" s="444"/>
      <c r="AL268" s="444"/>
      <c r="AM268" s="444"/>
      <c r="AN268" s="444"/>
      <c r="AO268" s="444"/>
      <c r="AP268" s="444"/>
      <c r="AQ268" s="444"/>
      <c r="AR268" s="444"/>
      <c r="AS268" s="444"/>
      <c r="AT268" s="444"/>
      <c r="AU268" s="444"/>
      <c r="AV268" s="444"/>
      <c r="AW268" s="444"/>
      <c r="AX268" s="444"/>
      <c r="AY268" s="444"/>
      <c r="AZ268" s="444"/>
      <c r="BA268" s="444"/>
      <c r="BB268" s="444"/>
      <c r="BC268" s="444"/>
      <c r="BD268" s="444"/>
      <c r="BE268" s="444"/>
      <c r="BF268" s="444"/>
      <c r="BG268" s="444"/>
      <c r="BH268" s="444"/>
      <c r="BI268" s="444"/>
      <c r="BJ268" s="444"/>
      <c r="BK268" s="444"/>
      <c r="BL268" s="444"/>
      <c r="BM268" s="444"/>
      <c r="BN268" s="444"/>
      <c r="BO268" s="444"/>
      <c r="BP268" s="444"/>
      <c r="BQ268" s="444"/>
      <c r="BR268" s="444"/>
      <c r="BS268" s="444"/>
      <c r="BT268" s="444"/>
      <c r="BU268" s="444"/>
      <c r="BV268" s="444"/>
      <c r="BW268" s="444"/>
      <c r="BX268" s="444"/>
      <c r="BY268" s="444"/>
      <c r="BZ268" s="444"/>
      <c r="CA268" s="444"/>
      <c r="CB268" s="444"/>
      <c r="CC268" s="444"/>
      <c r="CD268" s="444"/>
      <c r="CE268" s="444"/>
      <c r="CF268" s="444"/>
      <c r="CG268" s="444"/>
      <c r="CH268" s="444"/>
      <c r="CI268" s="444"/>
      <c r="CJ268" s="444"/>
      <c r="CK268" s="444"/>
      <c r="CL268" s="444"/>
      <c r="CM268" s="444"/>
      <c r="CN268" s="444"/>
      <c r="CO268" s="444"/>
      <c r="CP268" s="444"/>
      <c r="CQ268" s="444"/>
      <c r="CR268" s="444"/>
      <c r="CS268" s="444"/>
      <c r="CT268" s="444"/>
      <c r="CU268" s="444"/>
      <c r="CV268" s="444"/>
      <c r="CW268" s="444"/>
      <c r="CX268" s="444"/>
      <c r="CY268" s="444"/>
      <c r="CZ268" s="444"/>
      <c r="DA268" s="444"/>
      <c r="DB268" s="444"/>
      <c r="DC268" s="444"/>
      <c r="DD268" s="444"/>
      <c r="DE268" s="444"/>
      <c r="DF268" s="444"/>
      <c r="DG268" s="444"/>
      <c r="DH268" s="444"/>
      <c r="DI268" s="444"/>
      <c r="DJ268" s="444"/>
      <c r="DK268" s="444"/>
      <c r="DL268" s="444"/>
      <c r="DM268" s="444"/>
      <c r="DN268" s="444"/>
      <c r="DO268" s="444"/>
      <c r="DP268" s="444"/>
      <c r="DQ268" s="444"/>
      <c r="DR268" s="444"/>
      <c r="DS268" s="444"/>
      <c r="DT268" s="444"/>
      <c r="DU268" s="444"/>
      <c r="DV268" s="444"/>
      <c r="DW268" s="444"/>
      <c r="DX268" s="444"/>
      <c r="DY268" s="444"/>
      <c r="DZ268" s="444"/>
      <c r="EA268" s="444"/>
      <c r="EB268" s="444"/>
      <c r="EC268" s="444"/>
      <c r="ED268" s="444"/>
      <c r="EE268" s="444"/>
      <c r="EF268" s="444"/>
      <c r="EG268" s="444"/>
      <c r="EH268" s="444"/>
      <c r="EI268" s="444"/>
      <c r="EJ268" s="444"/>
      <c r="EK268" s="444"/>
      <c r="EL268" s="444"/>
      <c r="EM268" s="444"/>
      <c r="EN268" s="444"/>
      <c r="EO268" s="444"/>
      <c r="EP268" s="444"/>
      <c r="EQ268" s="444"/>
      <c r="ER268" s="444"/>
      <c r="ES268" s="444"/>
      <c r="ET268" s="444"/>
      <c r="EU268" s="444"/>
      <c r="EV268" s="444"/>
      <c r="EW268" s="444"/>
      <c r="EX268" s="444"/>
      <c r="EY268" s="444"/>
      <c r="EZ268" s="444"/>
      <c r="FA268" s="444"/>
      <c r="FB268" s="444"/>
      <c r="FC268" s="444"/>
      <c r="FD268" s="444"/>
      <c r="FE268" s="444"/>
      <c r="FF268" s="444"/>
      <c r="FG268" s="444"/>
      <c r="FH268" s="444"/>
      <c r="FI268" s="444"/>
      <c r="FJ268" s="444"/>
      <c r="FK268" s="444"/>
      <c r="FL268" s="444"/>
      <c r="FM268" s="444"/>
      <c r="FN268" s="444"/>
      <c r="FO268" s="444"/>
      <c r="FP268" s="444"/>
      <c r="FQ268" s="444"/>
      <c r="FR268" s="444"/>
      <c r="FS268" s="444"/>
      <c r="FT268" s="444"/>
      <c r="FU268" s="444"/>
      <c r="FV268" s="444"/>
      <c r="FW268" s="444"/>
      <c r="FX268" s="444"/>
      <c r="FY268" s="444"/>
      <c r="FZ268" s="444"/>
      <c r="GA268" s="444"/>
      <c r="GB268" s="444"/>
      <c r="GC268" s="444"/>
      <c r="GD268" s="444"/>
      <c r="GE268" s="444"/>
      <c r="GF268" s="444"/>
      <c r="GG268" s="444"/>
      <c r="GH268" s="444"/>
      <c r="GI268" s="444"/>
      <c r="GJ268" s="444"/>
      <c r="GK268" s="444"/>
      <c r="GL268" s="444"/>
      <c r="GM268" s="444"/>
      <c r="GN268" s="444"/>
      <c r="GO268" s="444"/>
      <c r="GP268" s="444"/>
      <c r="GQ268" s="444"/>
      <c r="GR268" s="444"/>
      <c r="GS268" s="444"/>
      <c r="GT268" s="444"/>
      <c r="GU268" s="444"/>
      <c r="GV268" s="444"/>
      <c r="GW268" s="444"/>
      <c r="GX268" s="444"/>
      <c r="GY268" s="444"/>
      <c r="GZ268" s="444"/>
      <c r="HA268" s="444"/>
      <c r="HB268" s="444"/>
      <c r="HC268" s="444"/>
      <c r="HD268" s="444"/>
      <c r="HE268" s="444"/>
      <c r="HF268" s="444"/>
      <c r="HG268" s="444"/>
      <c r="HH268" s="444"/>
      <c r="HI268" s="444"/>
      <c r="HJ268" s="444"/>
      <c r="HK268" s="444"/>
      <c r="HL268" s="444"/>
      <c r="HM268" s="444"/>
      <c r="HN268" s="444"/>
      <c r="HO268" s="444"/>
      <c r="HP268" s="444"/>
      <c r="HQ268" s="444"/>
      <c r="HR268" s="444"/>
      <c r="HS268" s="444"/>
      <c r="HT268" s="444"/>
      <c r="HU268" s="444"/>
      <c r="HV268" s="444"/>
      <c r="HW268" s="444"/>
      <c r="HX268" s="444"/>
      <c r="HY268" s="444"/>
      <c r="HZ268" s="444"/>
      <c r="IA268" s="444"/>
      <c r="IB268" s="444"/>
      <c r="IC268" s="444"/>
      <c r="ID268" s="444"/>
      <c r="IE268" s="444"/>
      <c r="IF268" s="444"/>
      <c r="IG268" s="444"/>
      <c r="IH268" s="444"/>
      <c r="II268" s="444"/>
      <c r="IJ268" s="444"/>
      <c r="IK268" s="444"/>
      <c r="IL268" s="444"/>
      <c r="IM268" s="444"/>
      <c r="IN268" s="444"/>
      <c r="IO268" s="444"/>
      <c r="IP268" s="444"/>
      <c r="IQ268" s="444"/>
      <c r="IR268" s="444"/>
      <c r="IS268" s="444"/>
      <c r="IT268" s="444"/>
      <c r="IU268" s="444"/>
      <c r="IV268" s="444"/>
    </row>
    <row r="269" spans="1:256" ht="56.25" customHeight="1">
      <c r="A269" s="1220" t="s">
        <v>318</v>
      </c>
      <c r="B269" s="445"/>
      <c r="C269" s="1516" t="s">
        <v>379</v>
      </c>
      <c r="D269" s="1516"/>
      <c r="E269" s="1516"/>
      <c r="F269" s="1516"/>
      <c r="G269" s="1516"/>
      <c r="H269" s="1516"/>
      <c r="I269" s="1516"/>
      <c r="J269" s="1516"/>
      <c r="K269" s="1516"/>
      <c r="L269" s="1516"/>
      <c r="M269" s="445"/>
      <c r="N269" s="445"/>
      <c r="O269" s="445"/>
      <c r="P269" s="445"/>
      <c r="Q269" s="445"/>
      <c r="R269" s="445"/>
      <c r="S269" s="445"/>
      <c r="T269" s="445"/>
      <c r="U269" s="445"/>
      <c r="V269" s="445"/>
      <c r="W269" s="445"/>
      <c r="X269" s="445"/>
      <c r="Y269" s="445"/>
      <c r="Z269" s="445"/>
      <c r="AA269" s="445"/>
      <c r="AB269" s="445"/>
      <c r="AC269" s="445"/>
      <c r="AD269" s="445"/>
      <c r="AE269" s="445"/>
      <c r="AF269" s="445"/>
      <c r="AG269" s="445"/>
      <c r="AH269" s="445"/>
      <c r="AI269" s="445"/>
      <c r="AJ269" s="445"/>
      <c r="AK269" s="445"/>
      <c r="AL269" s="445"/>
      <c r="AM269" s="445"/>
      <c r="AN269" s="445"/>
      <c r="AO269" s="445"/>
      <c r="AP269" s="445"/>
      <c r="AQ269" s="445"/>
      <c r="AR269" s="445"/>
      <c r="AS269" s="445"/>
      <c r="AT269" s="445"/>
      <c r="AU269" s="445"/>
      <c r="AV269" s="445"/>
      <c r="AW269" s="445"/>
      <c r="AX269" s="445"/>
      <c r="AY269" s="445"/>
      <c r="AZ269" s="445"/>
      <c r="BA269" s="445"/>
      <c r="BB269" s="445"/>
      <c r="BC269" s="445"/>
      <c r="BD269" s="445"/>
      <c r="BE269" s="445"/>
      <c r="BF269" s="445"/>
      <c r="BG269" s="445"/>
      <c r="BH269" s="445"/>
      <c r="BI269" s="445"/>
      <c r="BJ269" s="445"/>
      <c r="BK269" s="445"/>
      <c r="BL269" s="445"/>
      <c r="BM269" s="445"/>
      <c r="BN269" s="445"/>
      <c r="BO269" s="445"/>
      <c r="BP269" s="445"/>
      <c r="BQ269" s="445"/>
      <c r="BR269" s="445"/>
      <c r="BS269" s="445"/>
      <c r="BT269" s="445"/>
      <c r="BU269" s="445"/>
      <c r="BV269" s="445"/>
      <c r="BW269" s="445"/>
      <c r="BX269" s="445"/>
      <c r="BY269" s="445"/>
      <c r="BZ269" s="445"/>
      <c r="CA269" s="445"/>
      <c r="CB269" s="445"/>
      <c r="CC269" s="445"/>
      <c r="CD269" s="445"/>
      <c r="CE269" s="445"/>
      <c r="CF269" s="445"/>
      <c r="CG269" s="445"/>
      <c r="CH269" s="445"/>
      <c r="CI269" s="445"/>
      <c r="CJ269" s="445"/>
      <c r="CK269" s="445"/>
      <c r="CL269" s="445"/>
      <c r="CM269" s="445"/>
      <c r="CN269" s="445"/>
      <c r="CO269" s="445"/>
      <c r="CP269" s="445"/>
      <c r="CQ269" s="445"/>
      <c r="CR269" s="445"/>
      <c r="CS269" s="445"/>
      <c r="CT269" s="445"/>
      <c r="CU269" s="445"/>
      <c r="CV269" s="445"/>
      <c r="CW269" s="445"/>
      <c r="CX269" s="445"/>
      <c r="CY269" s="445"/>
      <c r="CZ269" s="445"/>
      <c r="DA269" s="445"/>
      <c r="DB269" s="445"/>
      <c r="DC269" s="445"/>
      <c r="DD269" s="445"/>
      <c r="DE269" s="445"/>
      <c r="DF269" s="445"/>
      <c r="DG269" s="445"/>
      <c r="DH269" s="445"/>
      <c r="DI269" s="445"/>
      <c r="DJ269" s="445"/>
      <c r="DK269" s="445"/>
      <c r="DL269" s="445"/>
      <c r="DM269" s="445"/>
      <c r="DN269" s="445"/>
      <c r="DO269" s="445"/>
      <c r="DP269" s="445"/>
      <c r="DQ269" s="445"/>
      <c r="DR269" s="445"/>
      <c r="DS269" s="445"/>
      <c r="DT269" s="445"/>
      <c r="DU269" s="445"/>
      <c r="DV269" s="445"/>
      <c r="DW269" s="445"/>
      <c r="DX269" s="445"/>
      <c r="DY269" s="445"/>
      <c r="DZ269" s="445"/>
      <c r="EA269" s="445"/>
      <c r="EB269" s="445"/>
      <c r="EC269" s="445"/>
      <c r="ED269" s="445"/>
      <c r="EE269" s="445"/>
      <c r="EF269" s="445"/>
      <c r="EG269" s="445"/>
      <c r="EH269" s="445"/>
      <c r="EI269" s="445"/>
      <c r="EJ269" s="445"/>
      <c r="EK269" s="445"/>
      <c r="EL269" s="445"/>
      <c r="EM269" s="445"/>
      <c r="EN269" s="445"/>
      <c r="EO269" s="445"/>
      <c r="EP269" s="445"/>
      <c r="EQ269" s="445"/>
      <c r="ER269" s="445"/>
      <c r="ES269" s="445"/>
      <c r="ET269" s="445"/>
      <c r="EU269" s="445"/>
      <c r="EV269" s="445"/>
      <c r="EW269" s="445"/>
      <c r="EX269" s="445"/>
      <c r="EY269" s="445"/>
      <c r="EZ269" s="445"/>
      <c r="FA269" s="445"/>
      <c r="FB269" s="445"/>
      <c r="FC269" s="445"/>
      <c r="FD269" s="445"/>
      <c r="FE269" s="445"/>
      <c r="FF269" s="445"/>
      <c r="FG269" s="445"/>
      <c r="FH269" s="445"/>
      <c r="FI269" s="445"/>
      <c r="FJ269" s="445"/>
      <c r="FK269" s="445"/>
      <c r="FL269" s="445"/>
      <c r="FM269" s="445"/>
      <c r="FN269" s="445"/>
      <c r="FO269" s="445"/>
      <c r="FP269" s="445"/>
      <c r="FQ269" s="445"/>
      <c r="FR269" s="445"/>
      <c r="FS269" s="445"/>
      <c r="FT269" s="445"/>
      <c r="FU269" s="445"/>
      <c r="FV269" s="445"/>
      <c r="FW269" s="445"/>
      <c r="FX269" s="445"/>
      <c r="FY269" s="445"/>
      <c r="FZ269" s="445"/>
      <c r="GA269" s="445"/>
      <c r="GB269" s="445"/>
      <c r="GC269" s="445"/>
      <c r="GD269" s="445"/>
      <c r="GE269" s="445"/>
      <c r="GF269" s="445"/>
      <c r="GG269" s="445"/>
      <c r="GH269" s="445"/>
      <c r="GI269" s="445"/>
      <c r="GJ269" s="445"/>
      <c r="GK269" s="445"/>
      <c r="GL269" s="445"/>
      <c r="GM269" s="445"/>
      <c r="GN269" s="445"/>
      <c r="GO269" s="445"/>
      <c r="GP269" s="445"/>
      <c r="GQ269" s="445"/>
      <c r="GR269" s="445"/>
      <c r="GS269" s="445"/>
      <c r="GT269" s="445"/>
      <c r="GU269" s="445"/>
      <c r="GV269" s="445"/>
      <c r="GW269" s="445"/>
      <c r="GX269" s="445"/>
      <c r="GY269" s="445"/>
      <c r="GZ269" s="445"/>
      <c r="HA269" s="445"/>
      <c r="HB269" s="445"/>
      <c r="HC269" s="445"/>
      <c r="HD269" s="445"/>
      <c r="HE269" s="445"/>
      <c r="HF269" s="445"/>
      <c r="HG269" s="445"/>
      <c r="HH269" s="445"/>
      <c r="HI269" s="445"/>
      <c r="HJ269" s="445"/>
      <c r="HK269" s="445"/>
      <c r="HL269" s="445"/>
      <c r="HM269" s="445"/>
      <c r="HN269" s="445"/>
      <c r="HO269" s="445"/>
      <c r="HP269" s="445"/>
      <c r="HQ269" s="445"/>
      <c r="HR269" s="445"/>
      <c r="HS269" s="445"/>
      <c r="HT269" s="445"/>
      <c r="HU269" s="445"/>
      <c r="HV269" s="445"/>
      <c r="HW269" s="445"/>
      <c r="HX269" s="445"/>
      <c r="HY269" s="445"/>
      <c r="HZ269" s="445"/>
      <c r="IA269" s="445"/>
      <c r="IB269" s="445"/>
      <c r="IC269" s="445"/>
      <c r="ID269" s="445"/>
      <c r="IE269" s="445"/>
      <c r="IF269" s="445"/>
      <c r="IG269" s="445"/>
      <c r="IH269" s="445"/>
      <c r="II269" s="445"/>
      <c r="IJ269" s="445"/>
      <c r="IK269" s="445"/>
      <c r="IL269" s="445"/>
      <c r="IM269" s="445"/>
      <c r="IN269" s="445"/>
      <c r="IO269" s="445"/>
      <c r="IP269" s="445"/>
      <c r="IQ269" s="445"/>
      <c r="IR269" s="445"/>
      <c r="IS269" s="445"/>
      <c r="IT269" s="445"/>
      <c r="IU269" s="445"/>
      <c r="IV269" s="445"/>
    </row>
    <row r="270" spans="1:256" ht="18">
      <c r="A270" s="1221" t="s">
        <v>480</v>
      </c>
      <c r="B270" s="445"/>
      <c r="C270" s="571" t="s">
        <v>937</v>
      </c>
      <c r="D270" s="615"/>
      <c r="E270" s="615"/>
      <c r="F270" s="615"/>
      <c r="G270" s="615"/>
      <c r="H270" s="615"/>
      <c r="I270" s="615"/>
      <c r="J270" s="615"/>
      <c r="K270" s="615"/>
      <c r="L270" s="615"/>
      <c r="M270" s="445"/>
      <c r="N270" s="445"/>
      <c r="O270" s="445"/>
      <c r="P270" s="445"/>
      <c r="Q270" s="445"/>
      <c r="R270" s="445"/>
      <c r="S270" s="445"/>
      <c r="T270" s="445"/>
      <c r="U270" s="445"/>
      <c r="V270" s="445"/>
      <c r="W270" s="445"/>
      <c r="X270" s="445"/>
      <c r="Y270" s="445"/>
      <c r="Z270" s="445"/>
      <c r="AA270" s="445"/>
      <c r="AB270" s="445"/>
      <c r="AC270" s="445"/>
      <c r="AD270" s="445"/>
      <c r="AE270" s="445"/>
      <c r="AF270" s="445"/>
      <c r="AG270" s="445"/>
      <c r="AH270" s="445"/>
      <c r="AI270" s="445"/>
      <c r="AJ270" s="445"/>
      <c r="AK270" s="445"/>
      <c r="AL270" s="445"/>
      <c r="AM270" s="445"/>
      <c r="AN270" s="445"/>
      <c r="AO270" s="445"/>
      <c r="AP270" s="445"/>
      <c r="AQ270" s="445"/>
      <c r="AR270" s="445"/>
      <c r="AS270" s="445"/>
      <c r="AT270" s="445"/>
      <c r="AU270" s="445"/>
      <c r="AV270" s="445"/>
      <c r="AW270" s="445"/>
      <c r="AX270" s="445"/>
      <c r="AY270" s="445"/>
      <c r="AZ270" s="445"/>
      <c r="BA270" s="445"/>
      <c r="BB270" s="445"/>
      <c r="BC270" s="445"/>
      <c r="BD270" s="445"/>
      <c r="BE270" s="445"/>
      <c r="BF270" s="445"/>
      <c r="BG270" s="445"/>
      <c r="BH270" s="445"/>
      <c r="BI270" s="445"/>
      <c r="BJ270" s="445"/>
      <c r="BK270" s="445"/>
      <c r="BL270" s="445"/>
      <c r="BM270" s="445"/>
      <c r="BN270" s="445"/>
      <c r="BO270" s="445"/>
      <c r="BP270" s="445"/>
      <c r="BQ270" s="445"/>
      <c r="BR270" s="445"/>
      <c r="BS270" s="445"/>
      <c r="BT270" s="445"/>
      <c r="BU270" s="445"/>
      <c r="BV270" s="445"/>
      <c r="BW270" s="445"/>
      <c r="BX270" s="445"/>
      <c r="BY270" s="445"/>
      <c r="BZ270" s="445"/>
      <c r="CA270" s="445"/>
      <c r="CB270" s="445"/>
      <c r="CC270" s="445"/>
      <c r="CD270" s="445"/>
      <c r="CE270" s="445"/>
      <c r="CF270" s="445"/>
      <c r="CG270" s="445"/>
      <c r="CH270" s="445"/>
      <c r="CI270" s="445"/>
      <c r="CJ270" s="445"/>
      <c r="CK270" s="445"/>
      <c r="CL270" s="445"/>
      <c r="CM270" s="445"/>
      <c r="CN270" s="445"/>
      <c r="CO270" s="445"/>
      <c r="CP270" s="445"/>
      <c r="CQ270" s="445"/>
      <c r="CR270" s="445"/>
      <c r="CS270" s="445"/>
      <c r="CT270" s="445"/>
      <c r="CU270" s="445"/>
      <c r="CV270" s="445"/>
      <c r="CW270" s="445"/>
      <c r="CX270" s="445"/>
      <c r="CY270" s="445"/>
      <c r="CZ270" s="445"/>
      <c r="DA270" s="445"/>
      <c r="DB270" s="445"/>
      <c r="DC270" s="445"/>
      <c r="DD270" s="445"/>
      <c r="DE270" s="445"/>
      <c r="DF270" s="445"/>
      <c r="DG270" s="445"/>
      <c r="DH270" s="445"/>
      <c r="DI270" s="445"/>
      <c r="DJ270" s="445"/>
      <c r="DK270" s="445"/>
      <c r="DL270" s="445"/>
      <c r="DM270" s="445"/>
      <c r="DN270" s="445"/>
      <c r="DO270" s="445"/>
      <c r="DP270" s="445"/>
      <c r="DQ270" s="445"/>
      <c r="DR270" s="445"/>
      <c r="DS270" s="445"/>
      <c r="DT270" s="445"/>
      <c r="DU270" s="445"/>
      <c r="DV270" s="445"/>
      <c r="DW270" s="445"/>
      <c r="DX270" s="445"/>
      <c r="DY270" s="445"/>
      <c r="DZ270" s="445"/>
      <c r="EA270" s="445"/>
      <c r="EB270" s="445"/>
      <c r="EC270" s="445"/>
      <c r="ED270" s="445"/>
      <c r="EE270" s="445"/>
      <c r="EF270" s="445"/>
      <c r="EG270" s="445"/>
      <c r="EH270" s="445"/>
      <c r="EI270" s="445"/>
      <c r="EJ270" s="445"/>
      <c r="EK270" s="445"/>
      <c r="EL270" s="445"/>
      <c r="EM270" s="445"/>
      <c r="EN270" s="445"/>
      <c r="EO270" s="445"/>
      <c r="EP270" s="445"/>
      <c r="EQ270" s="445"/>
      <c r="ER270" s="445"/>
      <c r="ES270" s="445"/>
      <c r="ET270" s="445"/>
      <c r="EU270" s="445"/>
      <c r="EV270" s="445"/>
      <c r="EW270" s="445"/>
      <c r="EX270" s="445"/>
      <c r="EY270" s="445"/>
      <c r="EZ270" s="445"/>
      <c r="FA270" s="445"/>
      <c r="FB270" s="445"/>
      <c r="FC270" s="445"/>
      <c r="FD270" s="445"/>
      <c r="FE270" s="445"/>
      <c r="FF270" s="445"/>
      <c r="FG270" s="445"/>
      <c r="FH270" s="445"/>
      <c r="FI270" s="445"/>
      <c r="FJ270" s="445"/>
      <c r="FK270" s="445"/>
      <c r="FL270" s="445"/>
      <c r="FM270" s="445"/>
      <c r="FN270" s="445"/>
      <c r="FO270" s="445"/>
      <c r="FP270" s="445"/>
      <c r="FQ270" s="445"/>
      <c r="FR270" s="445"/>
      <c r="FS270" s="445"/>
      <c r="FT270" s="445"/>
      <c r="FU270" s="445"/>
      <c r="FV270" s="445"/>
      <c r="FW270" s="445"/>
      <c r="FX270" s="445"/>
      <c r="FY270" s="445"/>
      <c r="FZ270" s="445"/>
      <c r="GA270" s="445"/>
      <c r="GB270" s="445"/>
      <c r="GC270" s="445"/>
      <c r="GD270" s="445"/>
      <c r="GE270" s="445"/>
      <c r="GF270" s="445"/>
      <c r="GG270" s="445"/>
      <c r="GH270" s="445"/>
      <c r="GI270" s="445"/>
      <c r="GJ270" s="445"/>
      <c r="GK270" s="445"/>
      <c r="GL270" s="445"/>
      <c r="GM270" s="445"/>
      <c r="GN270" s="445"/>
      <c r="GO270" s="445"/>
      <c r="GP270" s="445"/>
      <c r="GQ270" s="445"/>
      <c r="GR270" s="445"/>
      <c r="GS270" s="445"/>
      <c r="GT270" s="445"/>
      <c r="GU270" s="445"/>
      <c r="GV270" s="445"/>
      <c r="GW270" s="445"/>
      <c r="GX270" s="445"/>
      <c r="GY270" s="445"/>
      <c r="GZ270" s="445"/>
      <c r="HA270" s="445"/>
      <c r="HB270" s="445"/>
      <c r="HC270" s="445"/>
      <c r="HD270" s="445"/>
      <c r="HE270" s="445"/>
      <c r="HF270" s="445"/>
      <c r="HG270" s="445"/>
      <c r="HH270" s="445"/>
      <c r="HI270" s="445"/>
      <c r="HJ270" s="445"/>
      <c r="HK270" s="445"/>
      <c r="HL270" s="445"/>
      <c r="HM270" s="445"/>
      <c r="HN270" s="445"/>
      <c r="HO270" s="445"/>
      <c r="HP270" s="445"/>
      <c r="HQ270" s="445"/>
      <c r="HR270" s="445"/>
      <c r="HS270" s="445"/>
      <c r="HT270" s="445"/>
      <c r="HU270" s="445"/>
      <c r="HV270" s="445"/>
      <c r="HW270" s="445"/>
      <c r="HX270" s="445"/>
      <c r="HY270" s="445"/>
      <c r="HZ270" s="445"/>
      <c r="IA270" s="445"/>
      <c r="IB270" s="445"/>
      <c r="IC270" s="445"/>
      <c r="ID270" s="445"/>
      <c r="IE270" s="445"/>
      <c r="IF270" s="445"/>
      <c r="IG270" s="445"/>
      <c r="IH270" s="445"/>
      <c r="II270" s="445"/>
      <c r="IJ270" s="445"/>
      <c r="IK270" s="445"/>
      <c r="IL270" s="445"/>
      <c r="IM270" s="445"/>
      <c r="IN270" s="445"/>
      <c r="IO270" s="445"/>
      <c r="IP270" s="445"/>
      <c r="IQ270" s="445"/>
      <c r="IR270" s="445"/>
      <c r="IS270" s="445"/>
      <c r="IT270" s="445"/>
      <c r="IU270" s="445"/>
      <c r="IV270" s="445"/>
    </row>
    <row r="271" spans="1:256" ht="18.75">
      <c r="A271" s="413" t="s">
        <v>481</v>
      </c>
      <c r="B271" s="97"/>
      <c r="C271" s="645" t="s">
        <v>503</v>
      </c>
      <c r="D271" s="570"/>
      <c r="E271" s="570"/>
      <c r="F271" s="570"/>
      <c r="G271" s="570"/>
      <c r="H271" s="570"/>
      <c r="I271" s="570"/>
      <c r="J271" s="570"/>
      <c r="K271" s="570"/>
      <c r="L271" s="570"/>
      <c r="M271" s="105"/>
      <c r="N271" s="84"/>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row>
    <row r="272" spans="1:256" ht="18.75">
      <c r="A272" s="96"/>
      <c r="B272" s="97"/>
      <c r="C272" s="645" t="s">
        <v>938</v>
      </c>
      <c r="D272" s="570"/>
      <c r="E272" s="570"/>
      <c r="F272" s="570"/>
      <c r="G272" s="570"/>
      <c r="H272" s="570"/>
      <c r="I272" s="570"/>
      <c r="J272" s="570"/>
      <c r="K272" s="570"/>
      <c r="L272" s="570"/>
      <c r="M272" s="105"/>
      <c r="N272" s="84"/>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row>
    <row r="273" spans="1:61" ht="18.75">
      <c r="A273" s="96" t="s">
        <v>484</v>
      </c>
      <c r="B273" s="97"/>
      <c r="C273" s="868" t="s">
        <v>1051</v>
      </c>
      <c r="D273" s="601"/>
      <c r="E273" s="601"/>
      <c r="F273" s="601"/>
      <c r="G273" s="601"/>
      <c r="H273" s="601"/>
      <c r="I273" s="601"/>
      <c r="J273" s="601"/>
      <c r="K273" s="601"/>
      <c r="L273" s="601"/>
      <c r="M273" s="105"/>
      <c r="N273" s="6"/>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row>
    <row r="274" spans="1:61" ht="18">
      <c r="A274" s="107" t="s">
        <v>489</v>
      </c>
      <c r="B274" s="92"/>
      <c r="C274" s="867" t="s">
        <v>490</v>
      </c>
      <c r="D274" s="867"/>
      <c r="E274" s="867"/>
      <c r="F274" s="867"/>
      <c r="G274" s="867"/>
      <c r="H274" s="867"/>
      <c r="I274" s="867"/>
      <c r="J274" s="867"/>
      <c r="K274" s="867"/>
      <c r="L274" s="867"/>
      <c r="M274" s="84"/>
      <c r="N274" s="6"/>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row>
    <row r="275" spans="1:61" ht="18">
      <c r="A275" s="107" t="s">
        <v>505</v>
      </c>
      <c r="B275" s="92"/>
      <c r="C275" s="867" t="s">
        <v>509</v>
      </c>
      <c r="D275" s="867"/>
      <c r="E275" s="867"/>
      <c r="F275" s="867"/>
      <c r="G275" s="867"/>
      <c r="H275" s="867"/>
      <c r="I275" s="867"/>
      <c r="J275" s="867"/>
      <c r="K275" s="867"/>
      <c r="L275" s="867"/>
      <c r="M275" s="84"/>
      <c r="N275" s="6"/>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row>
    <row r="276" spans="1:61" ht="18">
      <c r="A276" s="107" t="s">
        <v>755</v>
      </c>
      <c r="B276" s="92"/>
      <c r="C276" s="1518" t="s">
        <v>1052</v>
      </c>
      <c r="D276" s="1518"/>
      <c r="E276" s="1518"/>
      <c r="F276" s="1518"/>
      <c r="G276" s="1518"/>
      <c r="H276" s="1518"/>
      <c r="I276" s="1518"/>
      <c r="J276" s="1518"/>
      <c r="K276" s="1518"/>
      <c r="L276" s="1518"/>
      <c r="M276" s="108"/>
      <c r="N276" s="109"/>
      <c r="O276" s="63"/>
      <c r="P276" s="63"/>
      <c r="Q276" s="63"/>
    </row>
    <row r="277" spans="1:61" ht="21.75" customHeight="1">
      <c r="A277" s="92"/>
      <c r="B277" s="92"/>
      <c r="M277" s="108"/>
      <c r="N277" s="109"/>
      <c r="O277" s="63"/>
      <c r="P277" s="63"/>
      <c r="Q277" s="63"/>
    </row>
    <row r="278" spans="1:61" ht="18">
      <c r="A278" s="92"/>
      <c r="B278" s="92"/>
      <c r="C278" s="582"/>
      <c r="D278" s="583"/>
      <c r="E278" s="581"/>
      <c r="F278" s="581"/>
      <c r="G278" s="583"/>
      <c r="H278" s="583"/>
      <c r="I278" s="109"/>
      <c r="J278" s="109"/>
      <c r="K278" s="109"/>
      <c r="L278" s="109"/>
      <c r="M278" s="109"/>
      <c r="N278" s="109"/>
      <c r="O278" s="63"/>
      <c r="P278" s="63"/>
      <c r="Q278" s="63"/>
    </row>
    <row r="279" spans="1:61" ht="18">
      <c r="A279" s="92"/>
      <c r="B279" s="92"/>
      <c r="C279" s="583"/>
      <c r="D279" s="582"/>
      <c r="E279" s="581"/>
      <c r="F279" s="581"/>
      <c r="G279" s="583"/>
      <c r="H279" s="584"/>
      <c r="I279" s="109"/>
      <c r="J279" s="109"/>
      <c r="K279" s="109"/>
      <c r="L279" s="109"/>
      <c r="M279" s="109"/>
      <c r="N279" s="109"/>
      <c r="O279" s="63"/>
      <c r="P279" s="63"/>
      <c r="Q279" s="63"/>
    </row>
    <row r="280" spans="1:61" ht="18">
      <c r="A280" s="92"/>
      <c r="B280" s="92"/>
      <c r="C280" s="582"/>
      <c r="D280" s="582"/>
      <c r="E280" s="581"/>
      <c r="F280" s="581"/>
      <c r="G280" s="583"/>
      <c r="H280" s="585"/>
      <c r="I280" s="63"/>
      <c r="J280" s="63"/>
      <c r="K280" s="63"/>
      <c r="L280" s="63"/>
      <c r="M280" s="63"/>
      <c r="N280" s="63"/>
      <c r="O280" s="63"/>
      <c r="P280" s="63"/>
      <c r="Q280" s="63"/>
    </row>
    <row r="281" spans="1:61" ht="18">
      <c r="A281" s="92"/>
      <c r="B281" s="92"/>
      <c r="C281" s="583"/>
      <c r="D281" s="582"/>
      <c r="E281" s="581"/>
      <c r="F281" s="581"/>
      <c r="G281" s="583"/>
      <c r="H281" s="586"/>
      <c r="I281" s="63"/>
      <c r="J281" s="63"/>
      <c r="K281" s="63"/>
      <c r="L281" s="63"/>
      <c r="M281" s="63"/>
      <c r="N281" s="63"/>
      <c r="O281" s="63"/>
      <c r="P281" s="63"/>
      <c r="Q281" s="63"/>
    </row>
    <row r="282" spans="1:61">
      <c r="C282" s="63"/>
      <c r="D282" s="63"/>
      <c r="E282" s="63"/>
      <c r="F282" s="63"/>
      <c r="G282" s="63"/>
      <c r="H282" s="63"/>
      <c r="I282" s="63"/>
      <c r="J282" s="63"/>
      <c r="K282" s="63"/>
      <c r="L282" s="63"/>
      <c r="M282" s="63"/>
      <c r="N282" s="63"/>
      <c r="O282" s="63"/>
      <c r="P282" s="63"/>
      <c r="Q282" s="63"/>
    </row>
    <row r="283" spans="1:61">
      <c r="C283" s="63"/>
      <c r="D283" s="63"/>
      <c r="E283" s="63"/>
      <c r="F283" s="63"/>
      <c r="G283" s="63"/>
      <c r="H283" s="63"/>
      <c r="I283" s="63"/>
      <c r="J283" s="63"/>
      <c r="K283" s="63"/>
      <c r="L283" s="63"/>
      <c r="M283" s="63"/>
      <c r="N283" s="63"/>
      <c r="O283" s="63"/>
      <c r="P283" s="63"/>
      <c r="Q283" s="63"/>
    </row>
    <row r="284" spans="1:61">
      <c r="C284" s="63"/>
      <c r="D284" s="63"/>
      <c r="E284" s="63"/>
      <c r="F284" s="63"/>
      <c r="G284" s="63"/>
      <c r="H284" s="63"/>
      <c r="I284" s="63"/>
      <c r="J284" s="63"/>
      <c r="K284" s="63"/>
      <c r="L284" s="63"/>
      <c r="M284" s="63"/>
      <c r="N284" s="63"/>
      <c r="O284" s="63"/>
      <c r="P284" s="63"/>
      <c r="Q284" s="63"/>
    </row>
    <row r="285" spans="1:61">
      <c r="C285" s="63"/>
      <c r="D285" s="63"/>
      <c r="E285" s="63"/>
      <c r="F285" s="63"/>
      <c r="G285" s="63"/>
      <c r="H285" s="63"/>
      <c r="I285" s="63"/>
      <c r="J285" s="63"/>
      <c r="K285" s="63"/>
      <c r="L285" s="63"/>
      <c r="M285" s="63"/>
      <c r="N285" s="63"/>
      <c r="O285" s="63"/>
      <c r="P285" s="63"/>
      <c r="Q285" s="63"/>
    </row>
    <row r="286" spans="1:61">
      <c r="C286" s="63"/>
      <c r="D286" s="63"/>
      <c r="E286" s="63"/>
      <c r="F286" s="63"/>
      <c r="G286" s="63"/>
      <c r="H286" s="63"/>
      <c r="I286" s="63"/>
      <c r="J286" s="63"/>
      <c r="K286" s="63"/>
      <c r="L286" s="63"/>
      <c r="M286" s="63"/>
      <c r="N286" s="63"/>
      <c r="O286" s="63"/>
      <c r="P286" s="63"/>
      <c r="Q286" s="63"/>
    </row>
    <row r="287" spans="1:61">
      <c r="C287" s="63"/>
      <c r="D287" s="63"/>
      <c r="E287" s="63"/>
      <c r="F287" s="63"/>
      <c r="G287" s="63"/>
      <c r="H287" s="63"/>
      <c r="I287" s="63"/>
      <c r="J287" s="63"/>
      <c r="K287" s="63"/>
      <c r="L287" s="63"/>
      <c r="M287" s="63"/>
      <c r="N287" s="63"/>
      <c r="O287" s="63"/>
      <c r="P287" s="63"/>
      <c r="Q287" s="63"/>
    </row>
    <row r="288" spans="1:61">
      <c r="C288" s="63"/>
      <c r="D288" s="63"/>
      <c r="E288" s="63"/>
      <c r="F288" s="63"/>
      <c r="G288" s="63"/>
      <c r="H288" s="63"/>
      <c r="I288" s="63"/>
      <c r="J288" s="63"/>
      <c r="K288" s="63"/>
      <c r="L288" s="63"/>
      <c r="M288" s="63"/>
      <c r="N288" s="63"/>
      <c r="O288" s="63"/>
      <c r="P288" s="63"/>
      <c r="Q288" s="63"/>
    </row>
    <row r="289" spans="3:17">
      <c r="C289" s="63"/>
      <c r="D289" s="63"/>
      <c r="E289" s="63"/>
      <c r="F289" s="63"/>
      <c r="G289" s="63"/>
      <c r="H289" s="63"/>
      <c r="I289" s="63"/>
      <c r="J289" s="63"/>
      <c r="K289" s="63"/>
      <c r="L289" s="63"/>
      <c r="M289" s="63"/>
      <c r="N289" s="63"/>
      <c r="O289" s="63"/>
      <c r="P289" s="63"/>
      <c r="Q289" s="63"/>
    </row>
    <row r="290" spans="3:17">
      <c r="C290" s="63"/>
      <c r="D290" s="63"/>
      <c r="E290" s="63"/>
      <c r="F290" s="63"/>
      <c r="G290" s="63"/>
      <c r="H290" s="63"/>
      <c r="I290" s="63"/>
      <c r="J290" s="63"/>
      <c r="K290" s="63"/>
      <c r="L290" s="63"/>
      <c r="M290" s="63"/>
      <c r="N290" s="63"/>
      <c r="O290" s="63"/>
      <c r="P290" s="63"/>
      <c r="Q290" s="63"/>
    </row>
    <row r="291" spans="3:17">
      <c r="C291" s="63"/>
      <c r="D291" s="63"/>
      <c r="E291" s="63"/>
      <c r="F291" s="63"/>
      <c r="G291" s="63"/>
      <c r="H291" s="63"/>
      <c r="I291" s="63"/>
      <c r="J291" s="63"/>
      <c r="K291" s="63"/>
      <c r="L291" s="63"/>
      <c r="M291" s="63"/>
      <c r="N291" s="63"/>
      <c r="O291" s="63"/>
      <c r="P291" s="63"/>
      <c r="Q291" s="63"/>
    </row>
    <row r="292" spans="3:17">
      <c r="C292" s="63"/>
      <c r="D292" s="63"/>
      <c r="E292" s="63"/>
      <c r="F292" s="63"/>
      <c r="G292" s="63"/>
      <c r="H292" s="63"/>
      <c r="I292" s="63"/>
      <c r="J292" s="63"/>
      <c r="K292" s="63"/>
      <c r="L292" s="63"/>
      <c r="M292" s="63"/>
      <c r="N292" s="63"/>
      <c r="O292" s="63"/>
      <c r="P292" s="63"/>
      <c r="Q292" s="63"/>
    </row>
    <row r="293" spans="3:17">
      <c r="C293" s="63"/>
      <c r="D293" s="63"/>
      <c r="E293" s="63"/>
      <c r="F293" s="63"/>
      <c r="G293" s="63"/>
      <c r="H293" s="63"/>
      <c r="I293" s="63"/>
      <c r="J293" s="63"/>
      <c r="K293" s="63"/>
      <c r="L293" s="63"/>
      <c r="M293" s="63"/>
      <c r="N293" s="63"/>
      <c r="O293" s="63"/>
      <c r="P293" s="63"/>
      <c r="Q293" s="63"/>
    </row>
    <row r="294" spans="3:17">
      <c r="C294" s="63"/>
      <c r="D294" s="63"/>
      <c r="E294" s="63"/>
      <c r="F294" s="63"/>
      <c r="G294" s="63"/>
      <c r="H294" s="63"/>
      <c r="I294" s="63"/>
      <c r="J294" s="63"/>
      <c r="K294" s="63"/>
      <c r="L294" s="63"/>
      <c r="M294" s="63"/>
      <c r="N294" s="63"/>
      <c r="O294" s="63"/>
      <c r="P294" s="63"/>
      <c r="Q294" s="63"/>
    </row>
    <row r="295" spans="3:17">
      <c r="C295" s="63"/>
      <c r="D295" s="63"/>
      <c r="E295" s="63"/>
      <c r="F295" s="63"/>
      <c r="G295" s="63"/>
      <c r="H295" s="63"/>
      <c r="I295" s="63"/>
      <c r="J295" s="63"/>
      <c r="K295" s="63"/>
      <c r="L295" s="63"/>
      <c r="M295" s="63"/>
      <c r="N295" s="63"/>
      <c r="O295" s="63"/>
      <c r="P295" s="63"/>
      <c r="Q295" s="63"/>
    </row>
    <row r="296" spans="3:17">
      <c r="C296" s="63"/>
      <c r="D296" s="63"/>
      <c r="E296" s="63"/>
      <c r="F296" s="63"/>
      <c r="G296" s="63"/>
      <c r="H296" s="63"/>
      <c r="I296" s="63"/>
      <c r="J296" s="63"/>
      <c r="K296" s="63"/>
      <c r="L296" s="63"/>
      <c r="M296" s="63"/>
      <c r="N296" s="63"/>
      <c r="O296" s="63"/>
      <c r="P296" s="63"/>
      <c r="Q296" s="63"/>
    </row>
    <row r="297" spans="3:17">
      <c r="C297" s="63"/>
      <c r="D297" s="63"/>
      <c r="E297" s="63"/>
      <c r="F297" s="63"/>
      <c r="G297" s="63"/>
      <c r="H297" s="63"/>
      <c r="I297" s="63"/>
      <c r="J297" s="63"/>
      <c r="K297" s="63"/>
      <c r="L297" s="63"/>
      <c r="M297" s="63"/>
      <c r="N297" s="63"/>
      <c r="O297" s="63"/>
      <c r="P297" s="63"/>
      <c r="Q297" s="63"/>
    </row>
    <row r="298" spans="3:17">
      <c r="C298" s="63"/>
      <c r="D298" s="63"/>
      <c r="E298" s="63"/>
      <c r="F298" s="63"/>
      <c r="G298" s="63"/>
      <c r="H298" s="63"/>
      <c r="I298" s="63"/>
      <c r="J298" s="63"/>
      <c r="K298" s="63"/>
      <c r="L298" s="63"/>
      <c r="M298" s="63"/>
      <c r="N298" s="63"/>
      <c r="O298" s="63"/>
      <c r="P298" s="63"/>
      <c r="Q298" s="63"/>
    </row>
    <row r="299" spans="3:17">
      <c r="C299" s="63"/>
      <c r="D299" s="63"/>
      <c r="E299" s="63"/>
      <c r="F299" s="63"/>
      <c r="G299" s="63"/>
      <c r="H299" s="63"/>
      <c r="I299" s="63"/>
      <c r="J299" s="63"/>
      <c r="K299" s="63"/>
      <c r="L299" s="63"/>
      <c r="M299" s="63"/>
      <c r="N299" s="63"/>
      <c r="O299" s="63"/>
      <c r="P299" s="63"/>
      <c r="Q299" s="63"/>
    </row>
    <row r="300" spans="3:17">
      <c r="C300" s="63"/>
      <c r="D300" s="63"/>
      <c r="E300" s="63"/>
      <c r="F300" s="63"/>
      <c r="G300" s="63"/>
      <c r="H300" s="63"/>
      <c r="I300" s="63"/>
      <c r="J300" s="63"/>
      <c r="K300" s="63"/>
      <c r="L300" s="63"/>
      <c r="M300" s="63"/>
      <c r="N300" s="63"/>
      <c r="O300" s="63"/>
      <c r="P300" s="63"/>
      <c r="Q300" s="63"/>
    </row>
    <row r="301" spans="3:17">
      <c r="C301" s="63"/>
      <c r="D301" s="63"/>
      <c r="E301" s="63"/>
      <c r="F301" s="63"/>
      <c r="G301" s="63"/>
      <c r="H301" s="63"/>
      <c r="I301" s="63"/>
      <c r="J301" s="63"/>
      <c r="K301" s="63"/>
      <c r="L301" s="63"/>
      <c r="M301" s="63"/>
      <c r="N301" s="63"/>
      <c r="O301" s="63"/>
      <c r="P301" s="63"/>
      <c r="Q301" s="63"/>
    </row>
    <row r="302" spans="3:17">
      <c r="C302" s="63"/>
      <c r="D302" s="63"/>
      <c r="E302" s="63"/>
      <c r="F302" s="63"/>
      <c r="G302" s="63"/>
      <c r="H302" s="63"/>
      <c r="I302" s="63"/>
      <c r="J302" s="63"/>
      <c r="K302" s="63"/>
      <c r="L302" s="63"/>
      <c r="M302" s="63"/>
      <c r="N302" s="63"/>
      <c r="O302" s="63"/>
      <c r="P302" s="63"/>
      <c r="Q302" s="63"/>
    </row>
    <row r="303" spans="3:17">
      <c r="C303" s="63"/>
      <c r="D303" s="63"/>
      <c r="E303" s="63"/>
      <c r="F303" s="63"/>
      <c r="G303" s="63"/>
      <c r="H303" s="63"/>
      <c r="I303" s="63"/>
      <c r="J303" s="63"/>
      <c r="K303" s="63"/>
      <c r="L303" s="63"/>
      <c r="M303" s="63"/>
      <c r="N303" s="63"/>
      <c r="O303" s="63"/>
      <c r="P303" s="63"/>
      <c r="Q303" s="63"/>
    </row>
    <row r="304" spans="3:17">
      <c r="C304" s="63"/>
      <c r="D304" s="63"/>
      <c r="E304" s="63"/>
      <c r="F304" s="63"/>
      <c r="G304" s="63"/>
      <c r="H304" s="63"/>
      <c r="I304" s="63"/>
      <c r="J304" s="63"/>
      <c r="K304" s="63"/>
      <c r="L304" s="63"/>
      <c r="M304" s="63"/>
      <c r="N304" s="63"/>
      <c r="O304" s="63"/>
      <c r="P304" s="63"/>
      <c r="Q304" s="63"/>
    </row>
    <row r="305" spans="3:17">
      <c r="C305" s="63"/>
      <c r="D305" s="63"/>
      <c r="E305" s="63"/>
      <c r="F305" s="63"/>
      <c r="G305" s="63"/>
      <c r="H305" s="63"/>
      <c r="I305" s="63"/>
      <c r="J305" s="63"/>
      <c r="K305" s="63"/>
      <c r="L305" s="63"/>
      <c r="M305" s="63"/>
      <c r="N305" s="63"/>
      <c r="O305" s="63"/>
      <c r="P305" s="63"/>
      <c r="Q305" s="63"/>
    </row>
    <row r="306" spans="3:17">
      <c r="C306" s="63"/>
      <c r="D306" s="63"/>
      <c r="E306" s="63"/>
      <c r="F306" s="63"/>
      <c r="G306" s="63"/>
      <c r="H306" s="63"/>
      <c r="I306" s="63"/>
      <c r="J306" s="63"/>
      <c r="K306" s="63"/>
      <c r="L306" s="63"/>
      <c r="M306" s="63"/>
      <c r="N306" s="63"/>
      <c r="O306" s="63"/>
      <c r="P306" s="63"/>
      <c r="Q306" s="63"/>
    </row>
    <row r="307" spans="3:17">
      <c r="C307" s="63"/>
      <c r="D307" s="63"/>
      <c r="E307" s="63"/>
      <c r="F307" s="63"/>
      <c r="G307" s="63"/>
      <c r="H307" s="63"/>
      <c r="I307" s="63"/>
      <c r="J307" s="63"/>
      <c r="K307" s="63"/>
      <c r="L307" s="63"/>
      <c r="M307" s="63"/>
      <c r="N307" s="63"/>
      <c r="O307" s="63"/>
      <c r="P307" s="63"/>
      <c r="Q307" s="63"/>
    </row>
    <row r="308" spans="3:17">
      <c r="C308" s="63"/>
      <c r="D308" s="63"/>
      <c r="E308" s="63"/>
      <c r="F308" s="63"/>
      <c r="G308" s="63"/>
      <c r="H308" s="63"/>
      <c r="I308" s="63"/>
      <c r="J308" s="63"/>
      <c r="K308" s="63"/>
      <c r="L308" s="63"/>
      <c r="M308" s="63"/>
      <c r="N308" s="63"/>
      <c r="O308" s="63"/>
      <c r="P308" s="63"/>
      <c r="Q308" s="63"/>
    </row>
    <row r="309" spans="3:17">
      <c r="C309" s="63"/>
      <c r="D309" s="63"/>
      <c r="E309" s="63"/>
      <c r="F309" s="63"/>
      <c r="G309" s="63"/>
      <c r="H309" s="63"/>
      <c r="I309" s="63"/>
      <c r="J309" s="63"/>
      <c r="K309" s="63"/>
      <c r="L309" s="63"/>
      <c r="M309" s="63"/>
      <c r="N309" s="63"/>
      <c r="O309" s="63"/>
      <c r="P309" s="63"/>
      <c r="Q309" s="63"/>
    </row>
    <row r="310" spans="3:17">
      <c r="C310" s="63"/>
      <c r="D310" s="63"/>
      <c r="E310" s="63"/>
      <c r="F310" s="63"/>
      <c r="G310" s="63"/>
      <c r="H310" s="63"/>
      <c r="I310" s="63"/>
      <c r="J310" s="63"/>
      <c r="K310" s="63"/>
      <c r="L310" s="63"/>
      <c r="M310" s="63"/>
      <c r="N310" s="63"/>
      <c r="O310" s="63"/>
      <c r="P310" s="63"/>
      <c r="Q310" s="63"/>
    </row>
    <row r="311" spans="3:17">
      <c r="C311" s="63"/>
      <c r="D311" s="63"/>
      <c r="E311" s="63"/>
      <c r="F311" s="63"/>
      <c r="G311" s="63"/>
      <c r="H311" s="63"/>
      <c r="I311" s="63"/>
      <c r="J311" s="63"/>
      <c r="K311" s="63"/>
      <c r="L311" s="63"/>
      <c r="M311" s="63"/>
      <c r="N311" s="63"/>
      <c r="O311" s="63"/>
      <c r="P311" s="63"/>
      <c r="Q311" s="63"/>
    </row>
    <row r="312" spans="3:17">
      <c r="C312" s="63"/>
      <c r="D312" s="63"/>
      <c r="E312" s="63"/>
      <c r="F312" s="63"/>
      <c r="G312" s="63"/>
      <c r="H312" s="63"/>
      <c r="I312" s="63"/>
      <c r="J312" s="63"/>
      <c r="K312" s="63"/>
      <c r="L312" s="63"/>
      <c r="M312" s="63"/>
      <c r="N312" s="63"/>
      <c r="O312" s="63"/>
      <c r="P312" s="63"/>
      <c r="Q312" s="63"/>
    </row>
    <row r="313" spans="3:17">
      <c r="C313" s="63"/>
      <c r="D313" s="63"/>
      <c r="E313" s="63"/>
      <c r="F313" s="63"/>
      <c r="G313" s="63"/>
      <c r="H313" s="63"/>
      <c r="I313" s="63"/>
      <c r="J313" s="63"/>
      <c r="K313" s="63"/>
      <c r="L313" s="63"/>
      <c r="M313" s="63"/>
      <c r="N313" s="63"/>
      <c r="O313" s="63"/>
      <c r="P313" s="63"/>
      <c r="Q313" s="63"/>
    </row>
    <row r="314" spans="3:17">
      <c r="C314" s="63"/>
      <c r="D314" s="63"/>
      <c r="E314" s="63"/>
      <c r="F314" s="63"/>
      <c r="G314" s="63"/>
      <c r="H314" s="63"/>
      <c r="I314" s="63"/>
      <c r="J314" s="63"/>
      <c r="K314" s="63"/>
      <c r="L314" s="63"/>
      <c r="M314" s="63"/>
      <c r="N314" s="63"/>
      <c r="O314" s="63"/>
      <c r="P314" s="63"/>
      <c r="Q314" s="63"/>
    </row>
    <row r="315" spans="3:17">
      <c r="C315" s="63"/>
      <c r="D315" s="63"/>
      <c r="E315" s="63"/>
      <c r="F315" s="63"/>
      <c r="G315" s="63"/>
      <c r="H315" s="63"/>
      <c r="I315" s="63"/>
      <c r="J315" s="63"/>
      <c r="K315" s="63"/>
      <c r="L315" s="63"/>
      <c r="M315" s="63"/>
      <c r="N315" s="63"/>
      <c r="O315" s="63"/>
      <c r="P315" s="63"/>
      <c r="Q315" s="63"/>
    </row>
    <row r="316" spans="3:17">
      <c r="C316" s="63"/>
      <c r="D316" s="63"/>
      <c r="E316" s="63"/>
      <c r="F316" s="63"/>
      <c r="G316" s="63"/>
      <c r="H316" s="63"/>
      <c r="I316" s="63"/>
      <c r="J316" s="63"/>
      <c r="K316" s="63"/>
      <c r="L316" s="63"/>
      <c r="M316" s="63"/>
      <c r="N316" s="63"/>
      <c r="O316" s="63"/>
      <c r="P316" s="63"/>
      <c r="Q316" s="63"/>
    </row>
    <row r="317" spans="3:17">
      <c r="C317" s="63"/>
      <c r="D317" s="63"/>
      <c r="E317" s="63"/>
      <c r="F317" s="63"/>
      <c r="G317" s="63"/>
      <c r="H317" s="63"/>
      <c r="I317" s="63"/>
      <c r="J317" s="63"/>
      <c r="K317" s="63"/>
      <c r="L317" s="63"/>
      <c r="M317" s="63"/>
      <c r="N317" s="63"/>
      <c r="O317" s="63"/>
      <c r="P317" s="63"/>
      <c r="Q317" s="63"/>
    </row>
    <row r="318" spans="3:17">
      <c r="C318" s="63"/>
      <c r="D318" s="63"/>
      <c r="E318" s="63"/>
      <c r="F318" s="63"/>
      <c r="G318" s="63"/>
      <c r="H318" s="63"/>
      <c r="I318" s="63"/>
      <c r="J318" s="63"/>
      <c r="K318" s="63"/>
      <c r="L318" s="63"/>
      <c r="M318" s="63"/>
      <c r="N318" s="63"/>
      <c r="O318" s="63"/>
      <c r="P318" s="63"/>
      <c r="Q318" s="63"/>
    </row>
    <row r="319" spans="3:17">
      <c r="C319" s="63"/>
      <c r="D319" s="63"/>
      <c r="E319" s="63"/>
      <c r="F319" s="63"/>
      <c r="G319" s="63"/>
      <c r="H319" s="63"/>
      <c r="I319" s="63"/>
      <c r="J319" s="63"/>
      <c r="K319" s="63"/>
      <c r="L319" s="63"/>
      <c r="M319" s="63"/>
      <c r="N319" s="63"/>
      <c r="O319" s="63"/>
      <c r="P319" s="63"/>
      <c r="Q319" s="63"/>
    </row>
    <row r="320" spans="3:17">
      <c r="C320" s="63"/>
      <c r="D320" s="63"/>
      <c r="E320" s="63"/>
      <c r="F320" s="63"/>
      <c r="G320" s="63"/>
      <c r="H320" s="63"/>
      <c r="I320" s="63"/>
      <c r="J320" s="63"/>
      <c r="K320" s="63"/>
      <c r="L320" s="63"/>
      <c r="M320" s="63"/>
      <c r="N320" s="63"/>
      <c r="O320" s="63"/>
      <c r="P320" s="63"/>
      <c r="Q320" s="63"/>
    </row>
    <row r="321" spans="3:17">
      <c r="C321" s="63"/>
      <c r="D321" s="63"/>
      <c r="E321" s="63"/>
      <c r="F321" s="63"/>
      <c r="G321" s="63"/>
      <c r="H321" s="63"/>
      <c r="I321" s="63"/>
      <c r="J321" s="63"/>
      <c r="K321" s="63"/>
      <c r="L321" s="63"/>
      <c r="M321" s="63"/>
      <c r="N321" s="63"/>
      <c r="O321" s="63"/>
      <c r="P321" s="63"/>
      <c r="Q321" s="63"/>
    </row>
    <row r="322" spans="3:17">
      <c r="C322" s="63"/>
      <c r="D322" s="63"/>
      <c r="E322" s="63"/>
      <c r="F322" s="63"/>
      <c r="G322" s="63"/>
      <c r="H322" s="63"/>
      <c r="I322" s="63"/>
      <c r="J322" s="63"/>
      <c r="K322" s="63"/>
      <c r="L322" s="63"/>
      <c r="M322" s="63"/>
      <c r="N322" s="63"/>
      <c r="O322" s="63"/>
      <c r="P322" s="63"/>
      <c r="Q322" s="63"/>
    </row>
    <row r="323" spans="3:17">
      <c r="C323" s="63"/>
      <c r="D323" s="63"/>
      <c r="E323" s="63"/>
      <c r="F323" s="63"/>
      <c r="G323" s="63"/>
      <c r="H323" s="63"/>
      <c r="I323" s="63"/>
      <c r="J323" s="63"/>
      <c r="K323" s="63"/>
      <c r="L323" s="63"/>
      <c r="M323" s="63"/>
      <c r="N323" s="63"/>
      <c r="O323" s="63"/>
      <c r="P323" s="63"/>
      <c r="Q323" s="63"/>
    </row>
    <row r="324" spans="3:17">
      <c r="C324" s="63"/>
      <c r="D324" s="63"/>
      <c r="E324" s="63"/>
      <c r="F324" s="63"/>
      <c r="G324" s="63"/>
      <c r="H324" s="63"/>
      <c r="I324" s="63"/>
      <c r="J324" s="63"/>
      <c r="K324" s="63"/>
      <c r="L324" s="63"/>
      <c r="M324" s="63"/>
      <c r="N324" s="63"/>
      <c r="O324" s="63"/>
      <c r="P324" s="63"/>
      <c r="Q324" s="63"/>
    </row>
    <row r="325" spans="3:17">
      <c r="C325" s="63"/>
      <c r="D325" s="63"/>
      <c r="E325" s="63"/>
      <c r="F325" s="63"/>
      <c r="G325" s="63"/>
      <c r="H325" s="63"/>
      <c r="I325" s="63"/>
      <c r="J325" s="63"/>
      <c r="K325" s="63"/>
      <c r="L325" s="63"/>
      <c r="M325" s="63"/>
      <c r="N325" s="63"/>
      <c r="O325" s="63"/>
      <c r="P325" s="63"/>
      <c r="Q325" s="63"/>
    </row>
    <row r="326" spans="3:17">
      <c r="C326" s="63"/>
      <c r="D326" s="63"/>
      <c r="E326" s="63"/>
      <c r="F326" s="63"/>
      <c r="G326" s="63"/>
      <c r="H326" s="63"/>
      <c r="I326" s="63"/>
      <c r="J326" s="63"/>
      <c r="K326" s="63"/>
      <c r="L326" s="63"/>
      <c r="M326" s="63"/>
      <c r="N326" s="63"/>
      <c r="O326" s="63"/>
      <c r="P326" s="63"/>
      <c r="Q326" s="63"/>
    </row>
    <row r="327" spans="3:17">
      <c r="C327" s="63"/>
      <c r="D327" s="63"/>
      <c r="E327" s="63"/>
      <c r="F327" s="63"/>
      <c r="G327" s="63"/>
      <c r="H327" s="63"/>
      <c r="I327" s="63"/>
      <c r="J327" s="63"/>
      <c r="K327" s="63"/>
      <c r="L327" s="63"/>
      <c r="M327" s="63"/>
      <c r="N327" s="63"/>
      <c r="O327" s="63"/>
      <c r="P327" s="63"/>
      <c r="Q327" s="63"/>
    </row>
    <row r="328" spans="3:17">
      <c r="C328" s="63"/>
      <c r="D328" s="63"/>
      <c r="E328" s="63"/>
      <c r="F328" s="63"/>
      <c r="G328" s="63"/>
      <c r="H328" s="63"/>
      <c r="I328" s="63"/>
      <c r="J328" s="63"/>
      <c r="K328" s="63"/>
      <c r="L328" s="63"/>
      <c r="M328" s="63"/>
      <c r="N328" s="63"/>
      <c r="O328" s="63"/>
      <c r="P328" s="63"/>
      <c r="Q328" s="63"/>
    </row>
    <row r="329" spans="3:17">
      <c r="C329" s="63"/>
      <c r="D329" s="63"/>
      <c r="E329" s="63"/>
      <c r="F329" s="63"/>
      <c r="G329" s="63"/>
      <c r="H329" s="63"/>
      <c r="I329" s="63"/>
      <c r="J329" s="63"/>
      <c r="K329" s="63"/>
      <c r="L329" s="63"/>
      <c r="M329" s="63"/>
      <c r="N329" s="63"/>
      <c r="O329" s="63"/>
      <c r="P329" s="63"/>
      <c r="Q329" s="63"/>
    </row>
    <row r="330" spans="3:17">
      <c r="C330" s="63"/>
      <c r="D330" s="63"/>
      <c r="E330" s="63"/>
      <c r="F330" s="63"/>
      <c r="G330" s="63"/>
      <c r="H330" s="63"/>
      <c r="I330" s="63"/>
      <c r="J330" s="63"/>
      <c r="K330" s="63"/>
      <c r="L330" s="63"/>
      <c r="M330" s="63"/>
      <c r="N330" s="63"/>
      <c r="O330" s="63"/>
      <c r="P330" s="63"/>
      <c r="Q330" s="63"/>
    </row>
    <row r="331" spans="3:17">
      <c r="C331" s="63"/>
      <c r="D331" s="63"/>
      <c r="E331" s="63"/>
      <c r="F331" s="63"/>
      <c r="G331" s="63"/>
      <c r="H331" s="63"/>
      <c r="I331" s="63"/>
      <c r="J331" s="63"/>
      <c r="K331" s="63"/>
      <c r="L331" s="63"/>
      <c r="M331" s="63"/>
      <c r="N331" s="63"/>
      <c r="O331" s="63"/>
      <c r="P331" s="63"/>
      <c r="Q331" s="63"/>
    </row>
    <row r="332" spans="3:17">
      <c r="C332" s="63"/>
      <c r="D332" s="63"/>
      <c r="E332" s="63"/>
      <c r="F332" s="63"/>
      <c r="G332" s="63"/>
      <c r="H332" s="63"/>
      <c r="I332" s="63"/>
      <c r="J332" s="63"/>
      <c r="K332" s="63"/>
      <c r="L332" s="63"/>
      <c r="M332" s="63"/>
      <c r="N332" s="63"/>
      <c r="O332" s="63"/>
      <c r="P332" s="63"/>
      <c r="Q332" s="63"/>
    </row>
    <row r="333" spans="3:17">
      <c r="C333" s="63"/>
      <c r="D333" s="63"/>
      <c r="E333" s="63"/>
      <c r="F333" s="63"/>
      <c r="G333" s="63"/>
      <c r="H333" s="63"/>
      <c r="I333" s="63"/>
      <c r="J333" s="63"/>
      <c r="K333" s="63"/>
      <c r="L333" s="63"/>
      <c r="M333" s="63"/>
      <c r="N333" s="63"/>
      <c r="O333" s="63"/>
      <c r="P333" s="63"/>
      <c r="Q333" s="63"/>
    </row>
    <row r="334" spans="3:17">
      <c r="C334" s="63"/>
      <c r="D334" s="63"/>
      <c r="E334" s="63"/>
      <c r="F334" s="63"/>
      <c r="G334" s="63"/>
      <c r="H334" s="63"/>
      <c r="I334" s="63"/>
      <c r="J334" s="63"/>
      <c r="K334" s="63"/>
      <c r="L334" s="63"/>
      <c r="M334" s="63"/>
      <c r="N334" s="63"/>
      <c r="O334" s="63"/>
      <c r="P334" s="63"/>
      <c r="Q334" s="63"/>
    </row>
    <row r="335" spans="3:17">
      <c r="C335" s="63"/>
      <c r="D335" s="63"/>
      <c r="E335" s="63"/>
      <c r="F335" s="63"/>
      <c r="G335" s="63"/>
      <c r="H335" s="63"/>
      <c r="I335" s="63"/>
      <c r="J335" s="63"/>
      <c r="K335" s="63"/>
      <c r="L335" s="63"/>
      <c r="M335" s="63"/>
      <c r="N335" s="63"/>
      <c r="O335" s="63"/>
      <c r="P335" s="63"/>
      <c r="Q335" s="63"/>
    </row>
    <row r="336" spans="3:17">
      <c r="C336" s="63"/>
      <c r="D336" s="63"/>
      <c r="E336" s="63"/>
      <c r="F336" s="63"/>
      <c r="G336" s="63"/>
      <c r="H336" s="63"/>
      <c r="I336" s="63"/>
      <c r="J336" s="63"/>
      <c r="K336" s="63"/>
      <c r="L336" s="63"/>
      <c r="M336" s="63"/>
      <c r="N336" s="63"/>
      <c r="O336" s="63"/>
      <c r="P336" s="63"/>
      <c r="Q336" s="63"/>
    </row>
    <row r="337" spans="3:17">
      <c r="C337" s="63"/>
      <c r="D337" s="63"/>
      <c r="E337" s="63"/>
      <c r="F337" s="63"/>
      <c r="G337" s="63"/>
      <c r="H337" s="63"/>
      <c r="I337" s="63"/>
      <c r="J337" s="63"/>
      <c r="K337" s="63"/>
      <c r="L337" s="63"/>
      <c r="M337" s="63"/>
      <c r="N337" s="63"/>
      <c r="O337" s="63"/>
      <c r="P337" s="63"/>
      <c r="Q337" s="63"/>
    </row>
    <row r="338" spans="3:17">
      <c r="C338" s="63"/>
      <c r="D338" s="63"/>
      <c r="E338" s="63"/>
      <c r="F338" s="63"/>
      <c r="G338" s="63"/>
      <c r="H338" s="63"/>
      <c r="I338" s="63"/>
      <c r="J338" s="63"/>
      <c r="K338" s="63"/>
      <c r="L338" s="63"/>
      <c r="M338" s="63"/>
      <c r="N338" s="63"/>
      <c r="O338" s="63"/>
      <c r="P338" s="63"/>
      <c r="Q338" s="63"/>
    </row>
    <row r="339" spans="3:17">
      <c r="C339" s="63"/>
      <c r="D339" s="63"/>
      <c r="E339" s="63"/>
      <c r="F339" s="63"/>
      <c r="G339" s="63"/>
      <c r="H339" s="63"/>
      <c r="I339" s="63"/>
      <c r="J339" s="63"/>
      <c r="K339" s="63"/>
      <c r="L339" s="63"/>
      <c r="M339" s="63"/>
      <c r="N339" s="63"/>
      <c r="O339" s="63"/>
      <c r="P339" s="63"/>
      <c r="Q339" s="63"/>
    </row>
    <row r="340" spans="3:17">
      <c r="C340" s="63"/>
      <c r="D340" s="63"/>
      <c r="E340" s="63"/>
      <c r="F340" s="63"/>
      <c r="G340" s="63"/>
      <c r="H340" s="63"/>
      <c r="I340" s="63"/>
      <c r="J340" s="63"/>
      <c r="K340" s="63"/>
      <c r="L340" s="63"/>
      <c r="M340" s="63"/>
      <c r="N340" s="63"/>
      <c r="O340" s="63"/>
      <c r="P340" s="63"/>
      <c r="Q340" s="63"/>
    </row>
    <row r="341" spans="3:17">
      <c r="C341" s="63"/>
      <c r="D341" s="63"/>
      <c r="E341" s="63"/>
      <c r="F341" s="63"/>
      <c r="G341" s="63"/>
      <c r="H341" s="63"/>
      <c r="I341" s="63"/>
      <c r="J341" s="63"/>
      <c r="K341" s="63"/>
      <c r="L341" s="63"/>
      <c r="M341" s="63"/>
      <c r="N341" s="63"/>
      <c r="O341" s="63"/>
      <c r="P341" s="63"/>
      <c r="Q341" s="63"/>
    </row>
    <row r="342" spans="3:17">
      <c r="C342" s="63"/>
      <c r="D342" s="63"/>
      <c r="E342" s="63"/>
      <c r="F342" s="63"/>
      <c r="G342" s="63"/>
      <c r="H342" s="63"/>
      <c r="I342" s="63"/>
      <c r="J342" s="63"/>
      <c r="K342" s="63"/>
      <c r="L342" s="63"/>
      <c r="M342" s="63"/>
      <c r="N342" s="63"/>
      <c r="O342" s="63"/>
      <c r="P342" s="63"/>
      <c r="Q342" s="63"/>
    </row>
    <row r="343" spans="3:17">
      <c r="C343" s="63"/>
      <c r="D343" s="63"/>
      <c r="E343" s="63"/>
      <c r="F343" s="63"/>
      <c r="G343" s="63"/>
      <c r="H343" s="63"/>
      <c r="I343" s="63"/>
      <c r="J343" s="63"/>
      <c r="K343" s="63"/>
      <c r="L343" s="63"/>
      <c r="M343" s="63"/>
      <c r="N343" s="63"/>
      <c r="O343" s="63"/>
      <c r="P343" s="63"/>
      <c r="Q343" s="63"/>
    </row>
    <row r="344" spans="3:17">
      <c r="C344" s="63"/>
      <c r="D344" s="63"/>
      <c r="E344" s="63"/>
      <c r="F344" s="63"/>
      <c r="G344" s="63"/>
      <c r="H344" s="63"/>
      <c r="I344" s="63"/>
      <c r="J344" s="63"/>
      <c r="K344" s="63"/>
      <c r="L344" s="63"/>
      <c r="M344" s="63"/>
      <c r="N344" s="63"/>
      <c r="O344" s="63"/>
      <c r="P344" s="63"/>
      <c r="Q344" s="63"/>
    </row>
    <row r="345" spans="3:17">
      <c r="C345" s="63"/>
      <c r="D345" s="63"/>
      <c r="E345" s="63"/>
      <c r="F345" s="63"/>
      <c r="G345" s="63"/>
      <c r="H345" s="63"/>
      <c r="I345" s="63"/>
      <c r="J345" s="63"/>
      <c r="K345" s="63"/>
      <c r="L345" s="63"/>
      <c r="M345" s="63"/>
      <c r="N345" s="63"/>
      <c r="O345" s="63"/>
      <c r="P345" s="63"/>
      <c r="Q345" s="63"/>
    </row>
    <row r="346" spans="3:17">
      <c r="C346" s="63"/>
      <c r="D346" s="63"/>
      <c r="E346" s="63"/>
      <c r="F346" s="63"/>
      <c r="G346" s="63"/>
      <c r="H346" s="63"/>
      <c r="I346" s="63"/>
      <c r="J346" s="63"/>
      <c r="K346" s="63"/>
      <c r="L346" s="63"/>
      <c r="M346" s="63"/>
      <c r="N346" s="63"/>
      <c r="O346" s="63"/>
      <c r="P346" s="63"/>
      <c r="Q346" s="63"/>
    </row>
    <row r="347" spans="3:17">
      <c r="C347" s="63"/>
      <c r="D347" s="63"/>
      <c r="E347" s="63"/>
      <c r="F347" s="63"/>
      <c r="G347" s="63"/>
      <c r="H347" s="63"/>
      <c r="I347" s="63"/>
      <c r="J347" s="63"/>
      <c r="K347" s="63"/>
      <c r="L347" s="63"/>
      <c r="M347" s="63"/>
      <c r="N347" s="63"/>
      <c r="O347" s="63"/>
      <c r="P347" s="63"/>
      <c r="Q347" s="63"/>
    </row>
    <row r="348" spans="3:17">
      <c r="C348" s="63"/>
      <c r="D348" s="63"/>
      <c r="E348" s="63"/>
      <c r="F348" s="63"/>
      <c r="G348" s="63"/>
      <c r="H348" s="63"/>
      <c r="I348" s="63"/>
      <c r="J348" s="63"/>
      <c r="K348" s="63"/>
      <c r="L348" s="63"/>
      <c r="M348" s="63"/>
      <c r="N348" s="63"/>
      <c r="O348" s="63"/>
      <c r="P348" s="63"/>
      <c r="Q348" s="63"/>
    </row>
    <row r="349" spans="3:17">
      <c r="C349" s="63"/>
      <c r="D349" s="63"/>
      <c r="E349" s="63"/>
      <c r="F349" s="63"/>
      <c r="G349" s="63"/>
      <c r="H349" s="63"/>
      <c r="I349" s="63"/>
      <c r="J349" s="63"/>
      <c r="K349" s="63"/>
      <c r="L349" s="63"/>
      <c r="M349" s="63"/>
      <c r="N349" s="63"/>
      <c r="O349" s="63"/>
      <c r="P349" s="63"/>
      <c r="Q349" s="63"/>
    </row>
    <row r="350" spans="3:17">
      <c r="C350" s="63"/>
      <c r="D350" s="63"/>
      <c r="E350" s="63"/>
      <c r="F350" s="63"/>
      <c r="G350" s="63"/>
      <c r="H350" s="63"/>
      <c r="I350" s="63"/>
      <c r="J350" s="63"/>
      <c r="K350" s="63"/>
      <c r="L350" s="63"/>
      <c r="M350" s="63"/>
      <c r="N350" s="63"/>
      <c r="O350" s="63"/>
      <c r="P350" s="63"/>
      <c r="Q350" s="63"/>
    </row>
    <row r="351" spans="3:17">
      <c r="C351" s="63"/>
      <c r="D351" s="63"/>
      <c r="E351" s="63"/>
      <c r="F351" s="63"/>
      <c r="G351" s="63"/>
      <c r="H351" s="63"/>
      <c r="I351" s="63"/>
      <c r="J351" s="63"/>
      <c r="K351" s="63"/>
      <c r="L351" s="63"/>
      <c r="M351" s="63"/>
      <c r="N351" s="63"/>
      <c r="O351" s="63"/>
      <c r="P351" s="63"/>
      <c r="Q351" s="63"/>
    </row>
    <row r="352" spans="3:17">
      <c r="C352" s="63"/>
      <c r="D352" s="63"/>
      <c r="E352" s="63"/>
      <c r="F352" s="63"/>
      <c r="G352" s="63"/>
      <c r="H352" s="63"/>
      <c r="I352" s="63"/>
      <c r="J352" s="63"/>
      <c r="K352" s="63"/>
      <c r="L352" s="63"/>
      <c r="M352" s="63"/>
      <c r="N352" s="63"/>
      <c r="O352" s="63"/>
      <c r="P352" s="63"/>
      <c r="Q352" s="63"/>
    </row>
    <row r="353" spans="3:17">
      <c r="C353" s="63"/>
      <c r="D353" s="63"/>
      <c r="E353" s="63"/>
      <c r="F353" s="63"/>
      <c r="G353" s="63"/>
      <c r="H353" s="63"/>
      <c r="I353" s="63"/>
      <c r="J353" s="63"/>
      <c r="K353" s="63"/>
      <c r="L353" s="63"/>
      <c r="M353" s="63"/>
      <c r="N353" s="63"/>
      <c r="O353" s="63"/>
      <c r="P353" s="63"/>
      <c r="Q353" s="63"/>
    </row>
    <row r="354" spans="3:17">
      <c r="C354" s="63"/>
      <c r="D354" s="63"/>
      <c r="E354" s="63"/>
      <c r="F354" s="63"/>
      <c r="G354" s="63"/>
      <c r="H354" s="63"/>
      <c r="I354" s="63"/>
      <c r="J354" s="63"/>
      <c r="K354" s="63"/>
      <c r="L354" s="63"/>
      <c r="M354" s="63"/>
      <c r="N354" s="63"/>
      <c r="O354" s="63"/>
      <c r="P354" s="63"/>
      <c r="Q354" s="63"/>
    </row>
    <row r="355" spans="3:17">
      <c r="C355" s="63"/>
      <c r="D355" s="63"/>
      <c r="E355" s="63"/>
      <c r="F355" s="63"/>
      <c r="G355" s="63"/>
      <c r="H355" s="63"/>
      <c r="I355" s="63"/>
      <c r="J355" s="63"/>
      <c r="K355" s="63"/>
      <c r="L355" s="63"/>
      <c r="M355" s="63"/>
      <c r="N355" s="63"/>
      <c r="O355" s="63"/>
      <c r="P355" s="63"/>
      <c r="Q355" s="63"/>
    </row>
    <row r="356" spans="3:17">
      <c r="C356" s="63"/>
      <c r="D356" s="63"/>
      <c r="E356" s="63"/>
      <c r="F356" s="63"/>
      <c r="G356" s="63"/>
      <c r="H356" s="63"/>
      <c r="I356" s="63"/>
      <c r="J356" s="63"/>
      <c r="K356" s="63"/>
      <c r="L356" s="63"/>
      <c r="M356" s="63"/>
      <c r="N356" s="63"/>
      <c r="O356" s="63"/>
      <c r="P356" s="63"/>
      <c r="Q356" s="63"/>
    </row>
    <row r="357" spans="3:17">
      <c r="C357" s="63"/>
      <c r="D357" s="63"/>
      <c r="E357" s="63"/>
      <c r="F357" s="63"/>
      <c r="G357" s="63"/>
      <c r="H357" s="63"/>
      <c r="I357" s="63"/>
      <c r="J357" s="63"/>
      <c r="K357" s="63"/>
      <c r="L357" s="63"/>
      <c r="M357" s="63"/>
      <c r="N357" s="63"/>
      <c r="O357" s="63"/>
      <c r="P357" s="63"/>
      <c r="Q357" s="63"/>
    </row>
    <row r="358" spans="3:17">
      <c r="C358" s="63"/>
      <c r="D358" s="63"/>
      <c r="E358" s="63"/>
      <c r="F358" s="63"/>
      <c r="G358" s="63"/>
      <c r="H358" s="63"/>
      <c r="I358" s="63"/>
      <c r="J358" s="63"/>
      <c r="K358" s="63"/>
      <c r="L358" s="63"/>
      <c r="M358" s="63"/>
      <c r="N358" s="63"/>
      <c r="O358" s="63"/>
      <c r="P358" s="63"/>
      <c r="Q358" s="63"/>
    </row>
    <row r="359" spans="3:17">
      <c r="C359" s="63"/>
      <c r="D359" s="63"/>
      <c r="E359" s="63"/>
      <c r="F359" s="63"/>
      <c r="G359" s="63"/>
      <c r="H359" s="63"/>
      <c r="I359" s="63"/>
      <c r="J359" s="63"/>
      <c r="K359" s="63"/>
      <c r="L359" s="63"/>
      <c r="M359" s="63"/>
      <c r="N359" s="63"/>
      <c r="O359" s="63"/>
      <c r="P359" s="63"/>
      <c r="Q359" s="63"/>
    </row>
    <row r="360" spans="3:17">
      <c r="C360" s="63"/>
      <c r="D360" s="63"/>
      <c r="E360" s="63"/>
      <c r="F360" s="63"/>
      <c r="G360" s="63"/>
      <c r="H360" s="63"/>
      <c r="I360" s="63"/>
      <c r="J360" s="63"/>
      <c r="K360" s="63"/>
      <c r="L360" s="63"/>
      <c r="M360" s="63"/>
      <c r="N360" s="63"/>
      <c r="O360" s="63"/>
      <c r="P360" s="63"/>
      <c r="Q360" s="63"/>
    </row>
    <row r="361" spans="3:17">
      <c r="C361" s="63"/>
      <c r="D361" s="63"/>
      <c r="E361" s="63"/>
      <c r="F361" s="63"/>
      <c r="G361" s="63"/>
      <c r="H361" s="63"/>
      <c r="I361" s="63"/>
      <c r="J361" s="63"/>
      <c r="K361" s="63"/>
      <c r="L361" s="63"/>
      <c r="M361" s="63"/>
      <c r="N361" s="63"/>
      <c r="O361" s="63"/>
      <c r="P361" s="63"/>
      <c r="Q361" s="63"/>
    </row>
    <row r="362" spans="3:17">
      <c r="C362" s="63"/>
      <c r="D362" s="63"/>
      <c r="E362" s="63"/>
      <c r="F362" s="63"/>
      <c r="G362" s="63"/>
      <c r="H362" s="63"/>
      <c r="I362" s="63"/>
      <c r="J362" s="63"/>
      <c r="K362" s="63"/>
      <c r="L362" s="63"/>
      <c r="M362" s="63"/>
      <c r="N362" s="63"/>
      <c r="O362" s="63"/>
      <c r="P362" s="63"/>
      <c r="Q362" s="63"/>
    </row>
    <row r="363" spans="3:17">
      <c r="C363" s="63"/>
      <c r="D363" s="63"/>
      <c r="E363" s="63"/>
      <c r="F363" s="63"/>
      <c r="G363" s="63"/>
      <c r="H363" s="63"/>
      <c r="I363" s="63"/>
      <c r="J363" s="63"/>
      <c r="K363" s="63"/>
      <c r="L363" s="63"/>
      <c r="M363" s="63"/>
      <c r="N363" s="63"/>
      <c r="O363" s="63"/>
      <c r="P363" s="63"/>
      <c r="Q363" s="63"/>
    </row>
    <row r="364" spans="3:17">
      <c r="C364" s="63"/>
      <c r="D364" s="63"/>
      <c r="E364" s="63"/>
      <c r="F364" s="63"/>
      <c r="G364" s="63"/>
      <c r="H364" s="63"/>
      <c r="I364" s="63"/>
      <c r="J364" s="63"/>
      <c r="K364" s="63"/>
      <c r="L364" s="63"/>
      <c r="M364" s="63"/>
      <c r="N364" s="63"/>
      <c r="O364" s="63"/>
      <c r="P364" s="63"/>
      <c r="Q364" s="63"/>
    </row>
    <row r="365" spans="3:17">
      <c r="C365" s="63"/>
      <c r="D365" s="63"/>
      <c r="E365" s="63"/>
      <c r="F365" s="63"/>
      <c r="G365" s="63"/>
      <c r="H365" s="63"/>
      <c r="I365" s="63"/>
      <c r="J365" s="63"/>
      <c r="K365" s="63"/>
      <c r="L365" s="63"/>
      <c r="M365" s="63"/>
      <c r="N365" s="63"/>
      <c r="O365" s="63"/>
      <c r="P365" s="63"/>
      <c r="Q365" s="63"/>
    </row>
    <row r="366" spans="3:17">
      <c r="C366" s="63"/>
      <c r="D366" s="63"/>
      <c r="E366" s="63"/>
      <c r="F366" s="63"/>
      <c r="G366" s="63"/>
      <c r="H366" s="63"/>
      <c r="I366" s="63"/>
      <c r="J366" s="63"/>
      <c r="K366" s="63"/>
      <c r="L366" s="63"/>
      <c r="M366" s="63"/>
      <c r="N366" s="63"/>
      <c r="O366" s="63"/>
      <c r="P366" s="63"/>
      <c r="Q366" s="63"/>
    </row>
    <row r="367" spans="3:17">
      <c r="C367" s="63"/>
      <c r="D367" s="63"/>
      <c r="E367" s="63"/>
      <c r="F367" s="63"/>
      <c r="G367" s="63"/>
      <c r="H367" s="63"/>
      <c r="I367" s="63"/>
      <c r="J367" s="63"/>
      <c r="K367" s="63"/>
      <c r="L367" s="63"/>
      <c r="M367" s="63"/>
      <c r="N367" s="63"/>
      <c r="O367" s="63"/>
      <c r="P367" s="63"/>
      <c r="Q367" s="63"/>
    </row>
    <row r="368" spans="3:17">
      <c r="C368" s="63"/>
      <c r="D368" s="63"/>
      <c r="E368" s="63"/>
      <c r="F368" s="63"/>
      <c r="G368" s="63"/>
      <c r="H368" s="63"/>
      <c r="I368" s="63"/>
      <c r="J368" s="63"/>
      <c r="K368" s="63"/>
      <c r="L368" s="63"/>
      <c r="M368" s="63"/>
      <c r="N368" s="63"/>
      <c r="O368" s="63"/>
      <c r="P368" s="63"/>
      <c r="Q368" s="63"/>
    </row>
    <row r="369" spans="3:17">
      <c r="C369" s="63"/>
      <c r="D369" s="63"/>
      <c r="E369" s="63"/>
      <c r="F369" s="63"/>
      <c r="G369" s="63"/>
      <c r="H369" s="63"/>
      <c r="I369" s="63"/>
      <c r="J369" s="63"/>
      <c r="K369" s="63"/>
      <c r="L369" s="63"/>
      <c r="M369" s="63"/>
      <c r="N369" s="63"/>
      <c r="O369" s="63"/>
      <c r="P369" s="63"/>
      <c r="Q369" s="63"/>
    </row>
    <row r="370" spans="3:17">
      <c r="C370" s="63"/>
      <c r="D370" s="63"/>
      <c r="E370" s="63"/>
      <c r="F370" s="63"/>
      <c r="G370" s="63"/>
      <c r="H370" s="63"/>
      <c r="I370" s="63"/>
      <c r="J370" s="63"/>
      <c r="K370" s="63"/>
      <c r="L370" s="63"/>
      <c r="M370" s="63"/>
      <c r="N370" s="63"/>
      <c r="O370" s="63"/>
      <c r="P370" s="63"/>
      <c r="Q370" s="63"/>
    </row>
    <row r="371" spans="3:17">
      <c r="C371" s="63"/>
      <c r="D371" s="63"/>
      <c r="E371" s="63"/>
      <c r="F371" s="63"/>
      <c r="G371" s="63"/>
      <c r="H371" s="63"/>
      <c r="I371" s="63"/>
      <c r="J371" s="63"/>
      <c r="K371" s="63"/>
      <c r="L371" s="63"/>
      <c r="M371" s="63"/>
      <c r="N371" s="63"/>
      <c r="O371" s="63"/>
      <c r="P371" s="63"/>
      <c r="Q371" s="63"/>
    </row>
    <row r="372" spans="3:17">
      <c r="C372" s="63"/>
      <c r="D372" s="63"/>
      <c r="E372" s="63"/>
      <c r="F372" s="63"/>
      <c r="G372" s="63"/>
      <c r="H372" s="63"/>
      <c r="I372" s="63"/>
      <c r="J372" s="63"/>
      <c r="K372" s="63"/>
      <c r="L372" s="63"/>
      <c r="M372" s="63"/>
      <c r="N372" s="63"/>
      <c r="O372" s="63"/>
      <c r="P372" s="63"/>
      <c r="Q372" s="63"/>
    </row>
    <row r="373" spans="3:17">
      <c r="C373" s="63"/>
      <c r="D373" s="63"/>
      <c r="E373" s="63"/>
      <c r="F373" s="63"/>
      <c r="G373" s="63"/>
      <c r="H373" s="63"/>
      <c r="I373" s="63"/>
      <c r="J373" s="63"/>
      <c r="K373" s="63"/>
      <c r="L373" s="63"/>
      <c r="M373" s="63"/>
      <c r="N373" s="63"/>
      <c r="O373" s="63"/>
      <c r="P373" s="63"/>
      <c r="Q373" s="63"/>
    </row>
    <row r="374" spans="3:17">
      <c r="C374" s="63"/>
      <c r="D374" s="63"/>
      <c r="E374" s="63"/>
      <c r="F374" s="63"/>
      <c r="G374" s="63"/>
      <c r="H374" s="63"/>
      <c r="I374" s="63"/>
      <c r="J374" s="63"/>
      <c r="K374" s="63"/>
      <c r="L374" s="63"/>
      <c r="M374" s="63"/>
      <c r="N374" s="63"/>
      <c r="O374" s="63"/>
      <c r="P374" s="63"/>
      <c r="Q374" s="63"/>
    </row>
    <row r="375" spans="3:17">
      <c r="C375" s="63"/>
      <c r="D375" s="63"/>
      <c r="E375" s="63"/>
      <c r="F375" s="63"/>
      <c r="G375" s="63"/>
      <c r="H375" s="63"/>
      <c r="I375" s="63"/>
      <c r="J375" s="63"/>
      <c r="K375" s="63"/>
      <c r="L375" s="63"/>
      <c r="M375" s="63"/>
      <c r="N375" s="63"/>
      <c r="O375" s="63"/>
      <c r="P375" s="63"/>
      <c r="Q375" s="63"/>
    </row>
    <row r="376" spans="3:17">
      <c r="C376" s="63"/>
      <c r="D376" s="63"/>
      <c r="E376" s="63"/>
      <c r="F376" s="63"/>
      <c r="G376" s="63"/>
      <c r="H376" s="63"/>
      <c r="I376" s="63"/>
      <c r="J376" s="63"/>
      <c r="K376" s="63"/>
      <c r="L376" s="63"/>
      <c r="M376" s="63"/>
      <c r="N376" s="63"/>
      <c r="O376" s="63"/>
      <c r="P376" s="63"/>
      <c r="Q376" s="63"/>
    </row>
    <row r="377" spans="3:17">
      <c r="C377" s="63"/>
      <c r="D377" s="63"/>
      <c r="E377" s="63"/>
      <c r="F377" s="63"/>
      <c r="G377" s="63"/>
      <c r="H377" s="63"/>
      <c r="I377" s="63"/>
      <c r="J377" s="63"/>
      <c r="K377" s="63"/>
      <c r="L377" s="63"/>
      <c r="M377" s="63"/>
      <c r="N377" s="63"/>
      <c r="O377" s="63"/>
      <c r="P377" s="63"/>
      <c r="Q377" s="63"/>
    </row>
    <row r="378" spans="3:17">
      <c r="C378" s="63"/>
      <c r="D378" s="63"/>
      <c r="E378" s="63"/>
      <c r="F378" s="63"/>
      <c r="G378" s="63"/>
      <c r="H378" s="63"/>
      <c r="I378" s="63"/>
      <c r="J378" s="63"/>
      <c r="K378" s="63"/>
      <c r="L378" s="63"/>
      <c r="M378" s="63"/>
      <c r="N378" s="63"/>
      <c r="O378" s="63"/>
      <c r="P378" s="63"/>
      <c r="Q378" s="63"/>
    </row>
    <row r="379" spans="3:17">
      <c r="C379" s="63"/>
      <c r="D379" s="63"/>
      <c r="E379" s="63"/>
      <c r="F379" s="63"/>
      <c r="G379" s="63"/>
      <c r="H379" s="63"/>
      <c r="I379" s="63"/>
      <c r="J379" s="63"/>
      <c r="K379" s="63"/>
      <c r="L379" s="63"/>
      <c r="M379" s="63"/>
      <c r="N379" s="63"/>
      <c r="O379" s="63"/>
      <c r="P379" s="63"/>
      <c r="Q379" s="63"/>
    </row>
    <row r="380" spans="3:17">
      <c r="C380" s="63"/>
      <c r="D380" s="63"/>
      <c r="E380" s="63"/>
      <c r="F380" s="63"/>
      <c r="G380" s="63"/>
      <c r="H380" s="63"/>
      <c r="I380" s="63"/>
      <c r="J380" s="63"/>
      <c r="K380" s="63"/>
      <c r="L380" s="63"/>
      <c r="M380" s="63"/>
      <c r="N380" s="63"/>
      <c r="O380" s="63"/>
      <c r="P380" s="63"/>
      <c r="Q380" s="63"/>
    </row>
    <row r="381" spans="3:17">
      <c r="C381" s="63"/>
      <c r="D381" s="63"/>
      <c r="E381" s="63"/>
      <c r="F381" s="63"/>
      <c r="G381" s="63"/>
      <c r="H381" s="63"/>
      <c r="I381" s="63"/>
      <c r="J381" s="63"/>
      <c r="K381" s="63"/>
      <c r="L381" s="63"/>
      <c r="M381" s="63"/>
      <c r="N381" s="63"/>
      <c r="O381" s="63"/>
      <c r="P381" s="63"/>
      <c r="Q381" s="63"/>
    </row>
    <row r="382" spans="3:17">
      <c r="C382" s="63"/>
      <c r="D382" s="63"/>
      <c r="E382" s="63"/>
      <c r="F382" s="63"/>
      <c r="G382" s="63"/>
      <c r="H382" s="63"/>
      <c r="I382" s="63"/>
      <c r="J382" s="63"/>
      <c r="K382" s="63"/>
      <c r="L382" s="63"/>
      <c r="M382" s="63"/>
      <c r="N382" s="63"/>
      <c r="O382" s="63"/>
      <c r="P382" s="63"/>
      <c r="Q382" s="63"/>
    </row>
    <row r="383" spans="3:17">
      <c r="C383" s="63"/>
      <c r="D383" s="63"/>
      <c r="E383" s="63"/>
      <c r="F383" s="63"/>
      <c r="G383" s="63"/>
      <c r="H383" s="63"/>
      <c r="I383" s="63"/>
      <c r="J383" s="63"/>
      <c r="K383" s="63"/>
      <c r="L383" s="63"/>
      <c r="M383" s="63"/>
      <c r="N383" s="63"/>
      <c r="O383" s="63"/>
      <c r="P383" s="63"/>
      <c r="Q383" s="63"/>
    </row>
    <row r="384" spans="3:17">
      <c r="C384" s="63"/>
      <c r="D384" s="63"/>
      <c r="E384" s="63"/>
      <c r="F384" s="63"/>
      <c r="G384" s="63"/>
      <c r="H384" s="63"/>
      <c r="I384" s="63"/>
      <c r="J384" s="63"/>
      <c r="K384" s="63"/>
      <c r="L384" s="63"/>
      <c r="M384" s="63"/>
      <c r="N384" s="63"/>
      <c r="O384" s="63"/>
      <c r="P384" s="63"/>
      <c r="Q384" s="63"/>
    </row>
    <row r="385" spans="3:17">
      <c r="C385" s="63"/>
      <c r="D385" s="63"/>
      <c r="E385" s="63"/>
      <c r="F385" s="63"/>
      <c r="G385" s="63"/>
      <c r="H385" s="63"/>
      <c r="I385" s="63"/>
      <c r="J385" s="63"/>
      <c r="K385" s="63"/>
      <c r="L385" s="63"/>
      <c r="M385" s="63"/>
      <c r="N385" s="63"/>
      <c r="O385" s="63"/>
      <c r="P385" s="63"/>
      <c r="Q385" s="63"/>
    </row>
    <row r="386" spans="3:17">
      <c r="C386" s="63"/>
      <c r="D386" s="63"/>
      <c r="E386" s="63"/>
      <c r="F386" s="63"/>
      <c r="G386" s="63"/>
      <c r="H386" s="63"/>
      <c r="I386" s="63"/>
      <c r="J386" s="63"/>
      <c r="K386" s="63"/>
      <c r="L386" s="63"/>
      <c r="M386" s="63"/>
      <c r="N386" s="63"/>
      <c r="O386" s="63"/>
      <c r="P386" s="63"/>
      <c r="Q386" s="63"/>
    </row>
    <row r="387" spans="3:17">
      <c r="C387" s="63"/>
      <c r="D387" s="63"/>
      <c r="E387" s="63"/>
      <c r="F387" s="63"/>
      <c r="G387" s="63"/>
      <c r="H387" s="63"/>
      <c r="I387" s="63"/>
      <c r="J387" s="63"/>
      <c r="K387" s="63"/>
      <c r="L387" s="63"/>
      <c r="M387" s="63"/>
      <c r="N387" s="63"/>
      <c r="O387" s="63"/>
      <c r="P387" s="63"/>
      <c r="Q387" s="63"/>
    </row>
    <row r="388" spans="3:17">
      <c r="C388" s="63"/>
      <c r="D388" s="63"/>
      <c r="E388" s="63"/>
      <c r="F388" s="63"/>
      <c r="G388" s="63"/>
      <c r="H388" s="63"/>
      <c r="I388" s="63"/>
      <c r="J388" s="63"/>
      <c r="K388" s="63"/>
      <c r="L388" s="63"/>
      <c r="M388" s="63"/>
      <c r="N388" s="63"/>
      <c r="O388" s="63"/>
      <c r="P388" s="63"/>
      <c r="Q388" s="63"/>
    </row>
    <row r="389" spans="3:17">
      <c r="C389" s="63"/>
      <c r="D389" s="63"/>
      <c r="E389" s="63"/>
      <c r="F389" s="63"/>
      <c r="G389" s="63"/>
      <c r="H389" s="63"/>
      <c r="I389" s="63"/>
      <c r="J389" s="63"/>
      <c r="K389" s="63"/>
      <c r="L389" s="63"/>
      <c r="M389" s="63"/>
      <c r="N389" s="63"/>
      <c r="O389" s="63"/>
      <c r="P389" s="63"/>
      <c r="Q389" s="63"/>
    </row>
    <row r="390" spans="3:17">
      <c r="C390" s="63"/>
      <c r="D390" s="63"/>
      <c r="E390" s="63"/>
      <c r="F390" s="63"/>
      <c r="G390" s="63"/>
      <c r="H390" s="63"/>
      <c r="I390" s="63"/>
      <c r="J390" s="63"/>
      <c r="K390" s="63"/>
      <c r="L390" s="63"/>
      <c r="M390" s="63"/>
      <c r="N390" s="63"/>
      <c r="O390" s="63"/>
      <c r="P390" s="63"/>
      <c r="Q390" s="63"/>
    </row>
    <row r="391" spans="3:17">
      <c r="C391" s="63"/>
      <c r="D391" s="63"/>
      <c r="E391" s="63"/>
      <c r="F391" s="63"/>
      <c r="G391" s="63"/>
      <c r="H391" s="63"/>
      <c r="I391" s="63"/>
      <c r="J391" s="63"/>
      <c r="K391" s="63"/>
      <c r="L391" s="63"/>
      <c r="M391" s="63"/>
      <c r="N391" s="63"/>
      <c r="O391" s="63"/>
      <c r="P391" s="63"/>
      <c r="Q391" s="63"/>
    </row>
    <row r="392" spans="3:17">
      <c r="C392" s="63"/>
      <c r="D392" s="63"/>
      <c r="E392" s="63"/>
      <c r="F392" s="63"/>
      <c r="G392" s="63"/>
      <c r="H392" s="63"/>
      <c r="I392" s="63"/>
      <c r="J392" s="63"/>
      <c r="K392" s="63"/>
      <c r="L392" s="63"/>
      <c r="M392" s="63"/>
      <c r="N392" s="63"/>
      <c r="O392" s="63"/>
      <c r="P392" s="63"/>
      <c r="Q392" s="63"/>
    </row>
    <row r="393" spans="3:17">
      <c r="C393" s="63"/>
      <c r="D393" s="63"/>
      <c r="E393" s="63"/>
      <c r="F393" s="63"/>
      <c r="G393" s="63"/>
      <c r="H393" s="63"/>
      <c r="I393" s="63"/>
      <c r="J393" s="63"/>
      <c r="K393" s="63"/>
      <c r="L393" s="63"/>
      <c r="M393" s="63"/>
      <c r="N393" s="63"/>
      <c r="O393" s="63"/>
      <c r="P393" s="63"/>
      <c r="Q393" s="63"/>
    </row>
    <row r="394" spans="3:17">
      <c r="C394" s="63"/>
      <c r="D394" s="63"/>
      <c r="E394" s="63"/>
      <c r="F394" s="63"/>
      <c r="G394" s="63"/>
      <c r="H394" s="63"/>
      <c r="I394" s="63"/>
      <c r="J394" s="63"/>
      <c r="K394" s="63"/>
      <c r="L394" s="63"/>
      <c r="M394" s="63"/>
      <c r="N394" s="63"/>
      <c r="O394" s="63"/>
      <c r="P394" s="63"/>
      <c r="Q394" s="63"/>
    </row>
    <row r="395" spans="3:17">
      <c r="C395" s="63"/>
      <c r="D395" s="63"/>
      <c r="E395" s="63"/>
      <c r="F395" s="63"/>
      <c r="G395" s="63"/>
      <c r="H395" s="63"/>
      <c r="I395" s="63"/>
      <c r="J395" s="63"/>
      <c r="K395" s="63"/>
      <c r="L395" s="63"/>
      <c r="M395" s="63"/>
      <c r="N395" s="63"/>
      <c r="O395" s="63"/>
      <c r="P395" s="63"/>
      <c r="Q395" s="63"/>
    </row>
    <row r="396" spans="3:17">
      <c r="C396" s="63"/>
      <c r="D396" s="63"/>
      <c r="E396" s="63"/>
      <c r="F396" s="63"/>
      <c r="G396" s="63"/>
      <c r="H396" s="63"/>
      <c r="I396" s="63"/>
      <c r="J396" s="63"/>
      <c r="K396" s="63"/>
      <c r="L396" s="63"/>
      <c r="M396" s="63"/>
      <c r="N396" s="63"/>
      <c r="O396" s="63"/>
      <c r="P396" s="63"/>
      <c r="Q396" s="63"/>
    </row>
    <row r="397" spans="3:17">
      <c r="C397" s="63"/>
      <c r="D397" s="63"/>
      <c r="E397" s="63"/>
      <c r="F397" s="63"/>
      <c r="G397" s="63"/>
      <c r="H397" s="63"/>
      <c r="I397" s="63"/>
      <c r="J397" s="63"/>
      <c r="K397" s="63"/>
      <c r="L397" s="63"/>
      <c r="M397" s="63"/>
      <c r="N397" s="63"/>
      <c r="O397" s="63"/>
      <c r="P397" s="63"/>
      <c r="Q397" s="63"/>
    </row>
    <row r="398" spans="3:17">
      <c r="C398" s="63"/>
      <c r="D398" s="63"/>
      <c r="E398" s="63"/>
      <c r="F398" s="63"/>
      <c r="G398" s="63"/>
      <c r="H398" s="63"/>
      <c r="I398" s="63"/>
      <c r="J398" s="63"/>
      <c r="K398" s="63"/>
      <c r="L398" s="63"/>
      <c r="M398" s="63"/>
      <c r="N398" s="63"/>
      <c r="O398" s="63"/>
      <c r="P398" s="63"/>
      <c r="Q398" s="63"/>
    </row>
    <row r="399" spans="3:17">
      <c r="C399" s="63"/>
      <c r="D399" s="63"/>
      <c r="E399" s="63"/>
      <c r="F399" s="63"/>
      <c r="G399" s="63"/>
      <c r="H399" s="63"/>
      <c r="I399" s="63"/>
      <c r="J399" s="63"/>
      <c r="K399" s="63"/>
      <c r="L399" s="63"/>
      <c r="M399" s="63"/>
      <c r="N399" s="63"/>
      <c r="O399" s="63"/>
      <c r="P399" s="63"/>
      <c r="Q399" s="63"/>
    </row>
    <row r="400" spans="3:17">
      <c r="C400" s="63"/>
      <c r="D400" s="63"/>
      <c r="E400" s="63"/>
      <c r="F400" s="63"/>
      <c r="G400" s="63"/>
      <c r="H400" s="63"/>
      <c r="I400" s="63"/>
      <c r="J400" s="63"/>
      <c r="K400" s="63"/>
      <c r="L400" s="63"/>
      <c r="M400" s="63"/>
      <c r="N400" s="63"/>
      <c r="O400" s="63"/>
      <c r="P400" s="63"/>
      <c r="Q400" s="63"/>
    </row>
    <row r="401" spans="3:17">
      <c r="C401" s="63"/>
      <c r="D401" s="63"/>
      <c r="E401" s="63"/>
      <c r="F401" s="63"/>
      <c r="G401" s="63"/>
      <c r="H401" s="63"/>
      <c r="I401" s="63"/>
      <c r="J401" s="63"/>
      <c r="K401" s="63"/>
      <c r="L401" s="63"/>
      <c r="M401" s="63"/>
      <c r="N401" s="63"/>
      <c r="O401" s="63"/>
      <c r="P401" s="63"/>
      <c r="Q401" s="63"/>
    </row>
    <row r="402" spans="3:17">
      <c r="C402" s="63"/>
      <c r="D402" s="63"/>
      <c r="E402" s="63"/>
      <c r="F402" s="63"/>
      <c r="G402" s="63"/>
      <c r="H402" s="63"/>
      <c r="I402" s="63"/>
      <c r="J402" s="63"/>
      <c r="K402" s="63"/>
      <c r="L402" s="63"/>
      <c r="M402" s="63"/>
      <c r="N402" s="63"/>
      <c r="O402" s="63"/>
      <c r="P402" s="63"/>
      <c r="Q402" s="63"/>
    </row>
    <row r="403" spans="3:17">
      <c r="C403" s="63"/>
      <c r="D403" s="63"/>
      <c r="E403" s="63"/>
      <c r="F403" s="63"/>
      <c r="G403" s="63"/>
      <c r="H403" s="63"/>
      <c r="I403" s="63"/>
      <c r="J403" s="63"/>
      <c r="K403" s="63"/>
      <c r="L403" s="63"/>
      <c r="M403" s="63"/>
      <c r="N403" s="63"/>
      <c r="O403" s="63"/>
      <c r="P403" s="63"/>
      <c r="Q403" s="63"/>
    </row>
    <row r="404" spans="3:17">
      <c r="C404" s="63"/>
      <c r="D404" s="63"/>
      <c r="E404" s="63"/>
      <c r="F404" s="63"/>
      <c r="G404" s="63"/>
      <c r="H404" s="63"/>
      <c r="I404" s="63"/>
      <c r="J404" s="63"/>
      <c r="K404" s="63"/>
      <c r="L404" s="63"/>
      <c r="M404" s="63"/>
      <c r="N404" s="63"/>
      <c r="O404" s="63"/>
      <c r="P404" s="63"/>
      <c r="Q404" s="63"/>
    </row>
    <row r="405" spans="3:17">
      <c r="C405" s="63"/>
      <c r="D405" s="63"/>
      <c r="E405" s="63"/>
      <c r="F405" s="63"/>
      <c r="G405" s="63"/>
      <c r="H405" s="63"/>
      <c r="I405" s="63"/>
      <c r="J405" s="63"/>
      <c r="K405" s="63"/>
      <c r="L405" s="63"/>
      <c r="M405" s="63"/>
      <c r="N405" s="63"/>
      <c r="O405" s="63"/>
      <c r="P405" s="63"/>
      <c r="Q405" s="63"/>
    </row>
    <row r="406" spans="3:17">
      <c r="C406" s="63"/>
      <c r="D406" s="63"/>
      <c r="E406" s="63"/>
      <c r="F406" s="63"/>
      <c r="G406" s="63"/>
      <c r="H406" s="63"/>
      <c r="I406" s="63"/>
      <c r="J406" s="63"/>
      <c r="K406" s="63"/>
      <c r="L406" s="63"/>
      <c r="M406" s="63"/>
      <c r="N406" s="63"/>
      <c r="O406" s="63"/>
      <c r="P406" s="63"/>
      <c r="Q406" s="63"/>
    </row>
    <row r="407" spans="3:17">
      <c r="C407" s="63"/>
      <c r="D407" s="63"/>
      <c r="E407" s="63"/>
      <c r="F407" s="63"/>
      <c r="G407" s="63"/>
      <c r="H407" s="63"/>
      <c r="I407" s="63"/>
      <c r="J407" s="63"/>
      <c r="K407" s="63"/>
      <c r="L407" s="63"/>
      <c r="M407" s="63"/>
      <c r="N407" s="63"/>
      <c r="O407" s="63"/>
      <c r="P407" s="63"/>
      <c r="Q407" s="63"/>
    </row>
    <row r="408" spans="3:17">
      <c r="C408" s="63"/>
      <c r="D408" s="63"/>
      <c r="E408" s="63"/>
      <c r="F408" s="63"/>
      <c r="G408" s="63"/>
      <c r="H408" s="63"/>
      <c r="I408" s="63"/>
      <c r="J408" s="63"/>
      <c r="K408" s="63"/>
      <c r="L408" s="63"/>
      <c r="M408" s="63"/>
      <c r="N408" s="63"/>
      <c r="O408" s="63"/>
      <c r="P408" s="63"/>
      <c r="Q408" s="63"/>
    </row>
    <row r="409" spans="3:17">
      <c r="C409" s="63"/>
      <c r="D409" s="63"/>
      <c r="E409" s="63"/>
      <c r="F409" s="63"/>
      <c r="G409" s="63"/>
      <c r="H409" s="63"/>
      <c r="I409" s="63"/>
      <c r="J409" s="63"/>
      <c r="K409" s="63"/>
      <c r="L409" s="63"/>
      <c r="M409" s="63"/>
      <c r="N409" s="63"/>
      <c r="O409" s="63"/>
      <c r="P409" s="63"/>
      <c r="Q409" s="63"/>
    </row>
    <row r="410" spans="3:17">
      <c r="C410" s="63"/>
      <c r="D410" s="63"/>
      <c r="E410" s="63"/>
      <c r="F410" s="63"/>
      <c r="G410" s="63"/>
      <c r="H410" s="63"/>
      <c r="I410" s="63"/>
      <c r="J410" s="63"/>
      <c r="K410" s="63"/>
      <c r="L410" s="63"/>
      <c r="M410" s="63"/>
      <c r="N410" s="63"/>
      <c r="O410" s="63"/>
      <c r="P410" s="63"/>
      <c r="Q410" s="63"/>
    </row>
    <row r="411" spans="3:17">
      <c r="C411" s="63"/>
      <c r="D411" s="63"/>
      <c r="E411" s="63"/>
      <c r="F411" s="63"/>
      <c r="G411" s="63"/>
      <c r="H411" s="63"/>
      <c r="I411" s="63"/>
      <c r="J411" s="63"/>
      <c r="K411" s="63"/>
      <c r="L411" s="63"/>
      <c r="M411" s="63"/>
      <c r="N411" s="63"/>
      <c r="O411" s="63"/>
      <c r="P411" s="63"/>
      <c r="Q411" s="63"/>
    </row>
    <row r="412" spans="3:17">
      <c r="C412" s="63"/>
      <c r="D412" s="63"/>
      <c r="E412" s="63"/>
      <c r="F412" s="63"/>
      <c r="G412" s="63"/>
      <c r="H412" s="63"/>
      <c r="I412" s="63"/>
      <c r="J412" s="63"/>
      <c r="K412" s="63"/>
      <c r="L412" s="63"/>
      <c r="M412" s="63"/>
      <c r="N412" s="63"/>
      <c r="O412" s="63"/>
      <c r="P412" s="63"/>
      <c r="Q412" s="63"/>
    </row>
    <row r="413" spans="3:17">
      <c r="C413" s="63"/>
      <c r="D413" s="63"/>
      <c r="E413" s="63"/>
      <c r="F413" s="63"/>
      <c r="G413" s="63"/>
      <c r="H413" s="63"/>
      <c r="I413" s="63"/>
      <c r="J413" s="63"/>
      <c r="K413" s="63"/>
      <c r="L413" s="63"/>
      <c r="M413" s="63"/>
      <c r="N413" s="63"/>
      <c r="O413" s="63"/>
      <c r="P413" s="63"/>
      <c r="Q413" s="63"/>
    </row>
    <row r="414" spans="3:17">
      <c r="C414" s="63"/>
      <c r="D414" s="63"/>
      <c r="E414" s="63"/>
      <c r="F414" s="63"/>
      <c r="G414" s="63"/>
      <c r="H414" s="63"/>
      <c r="I414" s="63"/>
      <c r="J414" s="63"/>
      <c r="K414" s="63"/>
      <c r="L414" s="63"/>
      <c r="M414" s="63"/>
      <c r="N414" s="63"/>
      <c r="O414" s="63"/>
      <c r="P414" s="63"/>
      <c r="Q414" s="63"/>
    </row>
    <row r="415" spans="3:17">
      <c r="C415" s="63"/>
      <c r="D415" s="63"/>
      <c r="E415" s="63"/>
      <c r="F415" s="63"/>
      <c r="G415" s="63"/>
      <c r="H415" s="63"/>
      <c r="I415" s="63"/>
      <c r="J415" s="63"/>
      <c r="K415" s="63"/>
      <c r="L415" s="63"/>
      <c r="M415" s="63"/>
      <c r="N415" s="63"/>
      <c r="O415" s="63"/>
      <c r="P415" s="63"/>
      <c r="Q415" s="63"/>
    </row>
    <row r="416" spans="3:17">
      <c r="C416" s="63"/>
      <c r="D416" s="63"/>
      <c r="E416" s="63"/>
      <c r="F416" s="63"/>
      <c r="G416" s="63"/>
      <c r="H416" s="63"/>
      <c r="I416" s="63"/>
      <c r="J416" s="63"/>
      <c r="K416" s="63"/>
      <c r="L416" s="63"/>
      <c r="M416" s="63"/>
      <c r="N416" s="63"/>
      <c r="O416" s="63"/>
      <c r="P416" s="63"/>
      <c r="Q416" s="63"/>
    </row>
    <row r="417" spans="3:17">
      <c r="C417" s="63"/>
      <c r="D417" s="63"/>
      <c r="E417" s="63"/>
      <c r="F417" s="63"/>
      <c r="G417" s="63"/>
      <c r="H417" s="63"/>
      <c r="I417" s="63"/>
      <c r="J417" s="63"/>
      <c r="K417" s="63"/>
      <c r="L417" s="63"/>
      <c r="M417" s="63"/>
      <c r="N417" s="63"/>
      <c r="O417" s="63"/>
      <c r="P417" s="63"/>
      <c r="Q417" s="63"/>
    </row>
    <row r="418" spans="3:17">
      <c r="C418" s="63"/>
      <c r="D418" s="63"/>
      <c r="E418" s="63"/>
      <c r="F418" s="63"/>
      <c r="G418" s="63"/>
      <c r="H418" s="63"/>
      <c r="I418" s="63"/>
      <c r="J418" s="63"/>
      <c r="K418" s="63"/>
      <c r="L418" s="63"/>
      <c r="M418" s="63"/>
      <c r="N418" s="63"/>
      <c r="O418" s="63"/>
      <c r="P418" s="63"/>
      <c r="Q418" s="63"/>
    </row>
    <row r="419" spans="3:17">
      <c r="C419" s="63"/>
      <c r="D419" s="63"/>
      <c r="E419" s="63"/>
      <c r="F419" s="63"/>
      <c r="G419" s="63"/>
      <c r="H419" s="63"/>
      <c r="I419" s="63"/>
      <c r="J419" s="63"/>
      <c r="K419" s="63"/>
      <c r="L419" s="63"/>
      <c r="M419" s="63"/>
      <c r="N419" s="63"/>
      <c r="O419" s="63"/>
      <c r="P419" s="63"/>
      <c r="Q419" s="63"/>
    </row>
    <row r="420" spans="3:17">
      <c r="C420" s="63"/>
      <c r="D420" s="63"/>
      <c r="E420" s="63"/>
      <c r="F420" s="63"/>
      <c r="G420" s="63"/>
      <c r="H420" s="63"/>
      <c r="I420" s="63"/>
      <c r="J420" s="63"/>
      <c r="K420" s="63"/>
      <c r="L420" s="63"/>
      <c r="M420" s="63"/>
      <c r="N420" s="63"/>
      <c r="O420" s="63"/>
      <c r="P420" s="63"/>
      <c r="Q420" s="63"/>
    </row>
    <row r="421" spans="3:17">
      <c r="C421" s="63"/>
      <c r="D421" s="63"/>
      <c r="E421" s="63"/>
      <c r="F421" s="63"/>
      <c r="G421" s="63"/>
      <c r="H421" s="63"/>
      <c r="I421" s="63"/>
      <c r="J421" s="63"/>
      <c r="K421" s="63"/>
      <c r="L421" s="63"/>
      <c r="M421" s="63"/>
      <c r="N421" s="63"/>
      <c r="O421" s="63"/>
      <c r="P421" s="63"/>
      <c r="Q421" s="63"/>
    </row>
    <row r="422" spans="3:17">
      <c r="C422" s="63"/>
      <c r="D422" s="63"/>
      <c r="E422" s="63"/>
      <c r="F422" s="63"/>
      <c r="G422" s="63"/>
      <c r="H422" s="63"/>
      <c r="I422" s="63"/>
      <c r="J422" s="63"/>
      <c r="K422" s="63"/>
      <c r="L422" s="63"/>
      <c r="M422" s="63"/>
      <c r="N422" s="63"/>
      <c r="O422" s="63"/>
      <c r="P422" s="63"/>
      <c r="Q422" s="63"/>
    </row>
    <row r="423" spans="3:17">
      <c r="C423" s="63"/>
      <c r="D423" s="63"/>
      <c r="E423" s="63"/>
      <c r="F423" s="63"/>
      <c r="G423" s="63"/>
      <c r="H423" s="63"/>
      <c r="I423" s="63"/>
      <c r="J423" s="63"/>
      <c r="K423" s="63"/>
      <c r="L423" s="63"/>
      <c r="M423" s="63"/>
      <c r="N423" s="63"/>
      <c r="O423" s="63"/>
      <c r="P423" s="63"/>
      <c r="Q423" s="63"/>
    </row>
    <row r="424" spans="3:17">
      <c r="C424" s="63"/>
      <c r="D424" s="63"/>
      <c r="E424" s="63"/>
      <c r="F424" s="63"/>
      <c r="G424" s="63"/>
      <c r="H424" s="63"/>
      <c r="I424" s="63"/>
      <c r="J424" s="63"/>
      <c r="K424" s="63"/>
      <c r="L424" s="63"/>
      <c r="M424" s="63"/>
      <c r="N424" s="63"/>
      <c r="O424" s="63"/>
      <c r="P424" s="63"/>
      <c r="Q424" s="63"/>
    </row>
    <row r="425" spans="3:17">
      <c r="C425" s="63"/>
      <c r="D425" s="63"/>
      <c r="E425" s="63"/>
      <c r="F425" s="63"/>
      <c r="G425" s="63"/>
      <c r="H425" s="63"/>
      <c r="I425" s="63"/>
      <c r="J425" s="63"/>
      <c r="K425" s="63"/>
      <c r="L425" s="63"/>
      <c r="M425" s="63"/>
      <c r="N425" s="63"/>
      <c r="O425" s="63"/>
      <c r="P425" s="63"/>
      <c r="Q425" s="63"/>
    </row>
    <row r="426" spans="3:17">
      <c r="C426" s="63"/>
      <c r="D426" s="63"/>
      <c r="E426" s="63"/>
      <c r="F426" s="63"/>
      <c r="G426" s="63"/>
      <c r="H426" s="63"/>
      <c r="I426" s="63"/>
      <c r="J426" s="63"/>
      <c r="K426" s="63"/>
      <c r="L426" s="63"/>
      <c r="M426" s="63"/>
      <c r="N426" s="63"/>
      <c r="O426" s="63"/>
      <c r="P426" s="63"/>
      <c r="Q426" s="63"/>
    </row>
    <row r="427" spans="3:17">
      <c r="C427" s="63"/>
      <c r="D427" s="63"/>
      <c r="E427" s="63"/>
      <c r="F427" s="63"/>
      <c r="G427" s="63"/>
      <c r="H427" s="63"/>
      <c r="I427" s="63"/>
      <c r="J427" s="63"/>
      <c r="K427" s="63"/>
      <c r="L427" s="63"/>
      <c r="M427" s="63"/>
      <c r="N427" s="63"/>
      <c r="O427" s="63"/>
      <c r="P427" s="63"/>
      <c r="Q427" s="63"/>
    </row>
    <row r="428" spans="3:17">
      <c r="C428" s="63"/>
      <c r="D428" s="63"/>
      <c r="E428" s="63"/>
      <c r="F428" s="63"/>
      <c r="G428" s="63"/>
      <c r="H428" s="63"/>
      <c r="I428" s="63"/>
      <c r="J428" s="63"/>
      <c r="K428" s="63"/>
      <c r="L428" s="63"/>
      <c r="M428" s="63"/>
      <c r="N428" s="63"/>
      <c r="O428" s="63"/>
      <c r="P428" s="63"/>
      <c r="Q428" s="63"/>
    </row>
    <row r="429" spans="3:17">
      <c r="C429" s="63"/>
      <c r="D429" s="63"/>
      <c r="E429" s="63"/>
      <c r="F429" s="63"/>
      <c r="G429" s="63"/>
      <c r="H429" s="63"/>
      <c r="I429" s="63"/>
      <c r="J429" s="63"/>
      <c r="K429" s="63"/>
      <c r="L429" s="63"/>
      <c r="M429" s="63"/>
      <c r="N429" s="63"/>
      <c r="O429" s="63"/>
      <c r="P429" s="63"/>
      <c r="Q429" s="63"/>
    </row>
    <row r="430" spans="3:17">
      <c r="C430" s="63"/>
      <c r="D430" s="63"/>
      <c r="E430" s="63"/>
      <c r="F430" s="63"/>
      <c r="G430" s="63"/>
      <c r="H430" s="63"/>
      <c r="I430" s="63"/>
      <c r="J430" s="63"/>
      <c r="K430" s="63"/>
      <c r="L430" s="63"/>
      <c r="M430" s="63"/>
      <c r="N430" s="63"/>
      <c r="O430" s="63"/>
      <c r="P430" s="63"/>
      <c r="Q430" s="63"/>
    </row>
    <row r="431" spans="3:17">
      <c r="C431" s="63"/>
      <c r="D431" s="63"/>
      <c r="E431" s="63"/>
      <c r="F431" s="63"/>
      <c r="G431" s="63"/>
      <c r="H431" s="63"/>
      <c r="I431" s="63"/>
      <c r="J431" s="63"/>
      <c r="K431" s="63"/>
      <c r="L431" s="63"/>
      <c r="M431" s="63"/>
      <c r="N431" s="63"/>
      <c r="O431" s="63"/>
      <c r="P431" s="63"/>
      <c r="Q431" s="63"/>
    </row>
    <row r="432" spans="3:17">
      <c r="C432" s="63"/>
      <c r="D432" s="63"/>
      <c r="E432" s="63"/>
      <c r="F432" s="63"/>
      <c r="G432" s="63"/>
      <c r="H432" s="63"/>
      <c r="I432" s="63"/>
      <c r="J432" s="63"/>
      <c r="K432" s="63"/>
      <c r="L432" s="63"/>
      <c r="M432" s="63"/>
      <c r="N432" s="63"/>
      <c r="O432" s="63"/>
      <c r="P432" s="63"/>
      <c r="Q432" s="63"/>
    </row>
    <row r="433" spans="3:17">
      <c r="C433" s="63"/>
      <c r="D433" s="63"/>
      <c r="E433" s="63"/>
      <c r="F433" s="63"/>
      <c r="G433" s="63"/>
      <c r="H433" s="63"/>
      <c r="I433" s="63"/>
      <c r="J433" s="63"/>
      <c r="K433" s="63"/>
      <c r="L433" s="63"/>
      <c r="M433" s="63"/>
      <c r="N433" s="63"/>
      <c r="O433" s="63"/>
      <c r="P433" s="63"/>
      <c r="Q433" s="63"/>
    </row>
    <row r="434" spans="3:17">
      <c r="C434" s="63"/>
      <c r="D434" s="63"/>
      <c r="E434" s="63"/>
      <c r="F434" s="63"/>
      <c r="G434" s="63"/>
      <c r="H434" s="63"/>
      <c r="I434" s="63"/>
      <c r="J434" s="63"/>
      <c r="K434" s="63"/>
      <c r="L434" s="63"/>
      <c r="M434" s="63"/>
      <c r="N434" s="63"/>
      <c r="O434" s="63"/>
      <c r="P434" s="63"/>
      <c r="Q434" s="63"/>
    </row>
    <row r="435" spans="3:17">
      <c r="C435" s="63"/>
      <c r="D435" s="63"/>
      <c r="E435" s="63"/>
      <c r="F435" s="63"/>
      <c r="G435" s="63"/>
      <c r="H435" s="63"/>
      <c r="I435" s="63"/>
      <c r="J435" s="63"/>
      <c r="K435" s="63"/>
      <c r="L435" s="63"/>
      <c r="M435" s="63"/>
      <c r="N435" s="63"/>
      <c r="O435" s="63"/>
      <c r="P435" s="63"/>
      <c r="Q435" s="63"/>
    </row>
    <row r="436" spans="3:17">
      <c r="C436" s="63"/>
      <c r="D436" s="63"/>
      <c r="E436" s="63"/>
      <c r="F436" s="63"/>
      <c r="G436" s="63"/>
      <c r="H436" s="63"/>
      <c r="I436" s="63"/>
      <c r="J436" s="63"/>
      <c r="K436" s="63"/>
      <c r="L436" s="63"/>
      <c r="M436" s="63"/>
      <c r="N436" s="63"/>
      <c r="O436" s="63"/>
      <c r="P436" s="63"/>
      <c r="Q436" s="63"/>
    </row>
    <row r="437" spans="3:17">
      <c r="C437" s="63"/>
      <c r="D437" s="63"/>
      <c r="E437" s="63"/>
      <c r="F437" s="63"/>
      <c r="G437" s="63"/>
      <c r="H437" s="63"/>
      <c r="I437" s="63"/>
      <c r="J437" s="63"/>
      <c r="K437" s="63"/>
      <c r="L437" s="63"/>
      <c r="M437" s="63"/>
      <c r="N437" s="63"/>
      <c r="O437" s="63"/>
      <c r="P437" s="63"/>
      <c r="Q437" s="63"/>
    </row>
    <row r="438" spans="3:17">
      <c r="C438" s="63"/>
      <c r="D438" s="63"/>
      <c r="E438" s="63"/>
      <c r="F438" s="63"/>
      <c r="G438" s="63"/>
      <c r="H438" s="63"/>
      <c r="I438" s="63"/>
      <c r="J438" s="63"/>
      <c r="K438" s="63"/>
      <c r="L438" s="63"/>
      <c r="M438" s="63"/>
      <c r="N438" s="63"/>
      <c r="O438" s="63"/>
      <c r="P438" s="63"/>
      <c r="Q438" s="63"/>
    </row>
    <row r="439" spans="3:17">
      <c r="C439" s="63"/>
      <c r="D439" s="63"/>
      <c r="E439" s="63"/>
      <c r="F439" s="63"/>
      <c r="G439" s="63"/>
      <c r="H439" s="63"/>
      <c r="I439" s="63"/>
      <c r="J439" s="63"/>
      <c r="K439" s="63"/>
      <c r="L439" s="63"/>
      <c r="M439" s="63"/>
      <c r="N439" s="63"/>
      <c r="O439" s="63"/>
      <c r="P439" s="63"/>
      <c r="Q439" s="63"/>
    </row>
    <row r="440" spans="3:17">
      <c r="C440" s="63"/>
      <c r="D440" s="63"/>
      <c r="E440" s="63"/>
      <c r="F440" s="63"/>
      <c r="G440" s="63"/>
      <c r="H440" s="63"/>
      <c r="I440" s="63"/>
      <c r="J440" s="63"/>
      <c r="K440" s="63"/>
      <c r="L440" s="63"/>
      <c r="M440" s="63"/>
      <c r="N440" s="63"/>
      <c r="O440" s="63"/>
      <c r="P440" s="63"/>
      <c r="Q440" s="63"/>
    </row>
    <row r="441" spans="3:17">
      <c r="C441" s="63"/>
      <c r="D441" s="63"/>
      <c r="E441" s="63"/>
      <c r="F441" s="63"/>
      <c r="G441" s="63"/>
      <c r="H441" s="63"/>
      <c r="I441" s="63"/>
      <c r="J441" s="63"/>
      <c r="K441" s="63"/>
      <c r="L441" s="63"/>
      <c r="M441" s="63"/>
      <c r="N441" s="63"/>
      <c r="O441" s="63"/>
      <c r="P441" s="63"/>
      <c r="Q441" s="63"/>
    </row>
    <row r="442" spans="3:17">
      <c r="C442" s="63"/>
      <c r="D442" s="63"/>
      <c r="E442" s="63"/>
      <c r="F442" s="63"/>
      <c r="G442" s="63"/>
      <c r="H442" s="63"/>
      <c r="I442" s="63"/>
      <c r="J442" s="63"/>
      <c r="K442" s="63"/>
      <c r="L442" s="63"/>
      <c r="M442" s="63"/>
      <c r="N442" s="63"/>
      <c r="O442" s="63"/>
      <c r="P442" s="63"/>
      <c r="Q442" s="63"/>
    </row>
    <row r="443" spans="3:17">
      <c r="C443" s="63"/>
      <c r="D443" s="63"/>
      <c r="E443" s="63"/>
      <c r="F443" s="63"/>
      <c r="G443" s="63"/>
      <c r="H443" s="63"/>
      <c r="I443" s="63"/>
      <c r="J443" s="63"/>
      <c r="K443" s="63"/>
      <c r="L443" s="63"/>
      <c r="M443" s="63"/>
      <c r="N443" s="63"/>
      <c r="O443" s="63"/>
      <c r="P443" s="63"/>
      <c r="Q443" s="63"/>
    </row>
    <row r="444" spans="3:17">
      <c r="C444" s="63"/>
      <c r="D444" s="63"/>
      <c r="E444" s="63"/>
      <c r="F444" s="63"/>
      <c r="G444" s="63"/>
      <c r="H444" s="63"/>
      <c r="I444" s="63"/>
      <c r="J444" s="63"/>
      <c r="K444" s="63"/>
      <c r="L444" s="63"/>
      <c r="M444" s="63"/>
      <c r="N444" s="63"/>
      <c r="O444" s="63"/>
      <c r="P444" s="63"/>
      <c r="Q444" s="63"/>
    </row>
    <row r="445" spans="3:17">
      <c r="C445" s="63"/>
      <c r="D445" s="63"/>
      <c r="E445" s="63"/>
      <c r="F445" s="63"/>
      <c r="G445" s="63"/>
      <c r="H445" s="63"/>
      <c r="I445" s="63"/>
      <c r="J445" s="63"/>
      <c r="K445" s="63"/>
      <c r="L445" s="63"/>
      <c r="M445" s="63"/>
      <c r="N445" s="63"/>
      <c r="O445" s="63"/>
      <c r="P445" s="63"/>
      <c r="Q445" s="63"/>
    </row>
    <row r="446" spans="3:17">
      <c r="C446" s="63"/>
      <c r="D446" s="63"/>
      <c r="E446" s="63"/>
      <c r="F446" s="63"/>
      <c r="G446" s="63"/>
      <c r="H446" s="63"/>
      <c r="I446" s="63"/>
      <c r="J446" s="63"/>
      <c r="K446" s="63"/>
      <c r="L446" s="63"/>
      <c r="M446" s="63"/>
      <c r="N446" s="63"/>
      <c r="O446" s="63"/>
      <c r="P446" s="63"/>
      <c r="Q446" s="63"/>
    </row>
    <row r="447" spans="3:17">
      <c r="C447" s="63"/>
      <c r="D447" s="63"/>
      <c r="E447" s="63"/>
      <c r="F447" s="63"/>
      <c r="G447" s="63"/>
      <c r="H447" s="63"/>
      <c r="I447" s="63"/>
      <c r="J447" s="63"/>
      <c r="K447" s="63"/>
      <c r="L447" s="63"/>
      <c r="M447" s="63"/>
      <c r="N447" s="63"/>
      <c r="O447" s="63"/>
      <c r="P447" s="63"/>
      <c r="Q447" s="63"/>
    </row>
    <row r="448" spans="3:17">
      <c r="C448" s="63"/>
      <c r="D448" s="63"/>
      <c r="E448" s="63"/>
      <c r="F448" s="63"/>
      <c r="G448" s="63"/>
      <c r="H448" s="63"/>
      <c r="I448" s="63"/>
      <c r="J448" s="63"/>
      <c r="K448" s="63"/>
      <c r="L448" s="63"/>
      <c r="M448" s="63"/>
      <c r="N448" s="63"/>
      <c r="O448" s="63"/>
      <c r="P448" s="63"/>
      <c r="Q448" s="63"/>
    </row>
    <row r="449" spans="3:17">
      <c r="C449" s="63"/>
      <c r="D449" s="63"/>
      <c r="E449" s="63"/>
      <c r="F449" s="63"/>
      <c r="G449" s="63"/>
      <c r="H449" s="63"/>
      <c r="I449" s="63"/>
      <c r="J449" s="63"/>
      <c r="K449" s="63"/>
      <c r="L449" s="63"/>
      <c r="M449" s="63"/>
      <c r="N449" s="63"/>
      <c r="O449" s="63"/>
      <c r="P449" s="63"/>
      <c r="Q449" s="63"/>
    </row>
    <row r="450" spans="3:17">
      <c r="C450" s="63"/>
      <c r="D450" s="63"/>
      <c r="E450" s="63"/>
      <c r="F450" s="63"/>
      <c r="G450" s="63"/>
      <c r="H450" s="63"/>
      <c r="I450" s="63"/>
      <c r="J450" s="63"/>
      <c r="K450" s="63"/>
      <c r="L450" s="63"/>
      <c r="M450" s="63"/>
      <c r="N450" s="63"/>
      <c r="O450" s="63"/>
      <c r="P450" s="63"/>
      <c r="Q450" s="63"/>
    </row>
    <row r="451" spans="3:17">
      <c r="C451" s="63"/>
      <c r="D451" s="63"/>
      <c r="E451" s="63"/>
      <c r="F451" s="63"/>
      <c r="G451" s="63"/>
      <c r="H451" s="63"/>
      <c r="I451" s="63"/>
      <c r="J451" s="63"/>
      <c r="K451" s="63"/>
      <c r="L451" s="63"/>
      <c r="M451" s="63"/>
      <c r="N451" s="63"/>
      <c r="O451" s="63"/>
      <c r="P451" s="63"/>
      <c r="Q451" s="63"/>
    </row>
    <row r="452" spans="3:17">
      <c r="C452" s="63"/>
      <c r="D452" s="63"/>
      <c r="E452" s="63"/>
      <c r="F452" s="63"/>
      <c r="G452" s="63"/>
      <c r="H452" s="63"/>
      <c r="I452" s="63"/>
      <c r="J452" s="63"/>
      <c r="K452" s="63"/>
      <c r="L452" s="63"/>
      <c r="M452" s="63"/>
      <c r="N452" s="63"/>
      <c r="O452" s="63"/>
      <c r="P452" s="63"/>
      <c r="Q452" s="63"/>
    </row>
    <row r="453" spans="3:17">
      <c r="C453" s="63"/>
      <c r="D453" s="63"/>
      <c r="E453" s="63"/>
      <c r="F453" s="63"/>
      <c r="G453" s="63"/>
      <c r="H453" s="63"/>
      <c r="I453" s="63"/>
      <c r="J453" s="63"/>
      <c r="K453" s="63"/>
      <c r="L453" s="63"/>
      <c r="M453" s="63"/>
      <c r="N453" s="63"/>
      <c r="O453" s="63"/>
      <c r="P453" s="63"/>
      <c r="Q453" s="63"/>
    </row>
    <row r="454" spans="3:17">
      <c r="C454" s="63"/>
      <c r="D454" s="63"/>
      <c r="E454" s="63"/>
      <c r="F454" s="63"/>
      <c r="G454" s="63"/>
      <c r="H454" s="63"/>
      <c r="I454" s="63"/>
      <c r="J454" s="63"/>
      <c r="K454" s="63"/>
      <c r="L454" s="63"/>
      <c r="M454" s="63"/>
      <c r="N454" s="63"/>
      <c r="O454" s="63"/>
      <c r="P454" s="63"/>
      <c r="Q454" s="63"/>
    </row>
    <row r="455" spans="3:17">
      <c r="C455" s="63"/>
      <c r="D455" s="63"/>
      <c r="E455" s="63"/>
      <c r="F455" s="63"/>
      <c r="G455" s="63"/>
      <c r="H455" s="63"/>
      <c r="I455" s="63"/>
      <c r="J455" s="63"/>
      <c r="K455" s="63"/>
      <c r="L455" s="63"/>
      <c r="M455" s="63"/>
      <c r="N455" s="63"/>
      <c r="O455" s="63"/>
      <c r="P455" s="63"/>
      <c r="Q455" s="63"/>
    </row>
    <row r="456" spans="3:17">
      <c r="C456" s="63"/>
      <c r="D456" s="63"/>
      <c r="E456" s="63"/>
      <c r="F456" s="63"/>
      <c r="G456" s="63"/>
      <c r="H456" s="63"/>
      <c r="I456" s="63"/>
      <c r="J456" s="63"/>
      <c r="K456" s="63"/>
      <c r="L456" s="63"/>
      <c r="M456" s="63"/>
      <c r="N456" s="63"/>
      <c r="O456" s="63"/>
      <c r="P456" s="63"/>
      <c r="Q456" s="63"/>
    </row>
    <row r="457" spans="3:17">
      <c r="C457" s="63"/>
      <c r="D457" s="63"/>
      <c r="E457" s="63"/>
      <c r="F457" s="63"/>
      <c r="G457" s="63"/>
      <c r="H457" s="63"/>
      <c r="I457" s="63"/>
      <c r="J457" s="63"/>
      <c r="K457" s="63"/>
      <c r="L457" s="63"/>
      <c r="M457" s="63"/>
      <c r="N457" s="63"/>
      <c r="O457" s="63"/>
      <c r="P457" s="63"/>
      <c r="Q457" s="63"/>
    </row>
    <row r="458" spans="3:17">
      <c r="C458" s="63"/>
      <c r="D458" s="63"/>
      <c r="E458" s="63"/>
      <c r="F458" s="63"/>
      <c r="G458" s="63"/>
      <c r="H458" s="63"/>
      <c r="I458" s="63"/>
      <c r="J458" s="63"/>
      <c r="K458" s="63"/>
      <c r="L458" s="63"/>
      <c r="M458" s="63"/>
      <c r="N458" s="63"/>
      <c r="O458" s="63"/>
      <c r="P458" s="63"/>
      <c r="Q458" s="63"/>
    </row>
    <row r="459" spans="3:17">
      <c r="C459" s="63"/>
      <c r="D459" s="63"/>
      <c r="E459" s="63"/>
      <c r="F459" s="63"/>
      <c r="G459" s="63"/>
      <c r="H459" s="63"/>
      <c r="I459" s="63"/>
      <c r="J459" s="63"/>
      <c r="K459" s="63"/>
      <c r="L459" s="63"/>
      <c r="M459" s="63"/>
      <c r="N459" s="63"/>
      <c r="O459" s="63"/>
      <c r="P459" s="63"/>
      <c r="Q459" s="63"/>
    </row>
    <row r="460" spans="3:17">
      <c r="C460" s="63"/>
      <c r="D460" s="63"/>
      <c r="E460" s="63"/>
      <c r="F460" s="63"/>
      <c r="G460" s="63"/>
      <c r="H460" s="63"/>
      <c r="I460" s="63"/>
      <c r="J460" s="63"/>
      <c r="K460" s="63"/>
      <c r="L460" s="63"/>
      <c r="M460" s="63"/>
      <c r="N460" s="63"/>
      <c r="O460" s="63"/>
      <c r="P460" s="63"/>
      <c r="Q460" s="63"/>
    </row>
    <row r="461" spans="3:17">
      <c r="C461" s="63"/>
      <c r="D461" s="63"/>
      <c r="E461" s="63"/>
      <c r="F461" s="63"/>
      <c r="G461" s="63"/>
      <c r="H461" s="63"/>
      <c r="I461" s="63"/>
      <c r="J461" s="63"/>
      <c r="K461" s="63"/>
      <c r="L461" s="63"/>
      <c r="M461" s="63"/>
      <c r="N461" s="63"/>
      <c r="O461" s="63"/>
      <c r="P461" s="63"/>
      <c r="Q461" s="63"/>
    </row>
    <row r="462" spans="3:17">
      <c r="C462" s="63"/>
      <c r="D462" s="63"/>
      <c r="E462" s="63"/>
      <c r="F462" s="63"/>
      <c r="G462" s="63"/>
      <c r="H462" s="63"/>
      <c r="I462" s="63"/>
      <c r="J462" s="63"/>
      <c r="K462" s="63"/>
      <c r="L462" s="63"/>
      <c r="M462" s="63"/>
      <c r="N462" s="63"/>
      <c r="O462" s="63"/>
      <c r="P462" s="63"/>
      <c r="Q462" s="63"/>
    </row>
    <row r="463" spans="3:17">
      <c r="C463" s="63"/>
      <c r="D463" s="63"/>
      <c r="E463" s="63"/>
      <c r="F463" s="63"/>
      <c r="G463" s="63"/>
      <c r="H463" s="63"/>
      <c r="I463" s="63"/>
      <c r="J463" s="63"/>
      <c r="K463" s="63"/>
      <c r="L463" s="63"/>
      <c r="M463" s="63"/>
      <c r="N463" s="63"/>
      <c r="O463" s="63"/>
      <c r="P463" s="63"/>
      <c r="Q463" s="63"/>
    </row>
    <row r="464" spans="3:17">
      <c r="C464" s="63"/>
      <c r="D464" s="63"/>
      <c r="E464" s="63"/>
      <c r="F464" s="63"/>
      <c r="G464" s="63"/>
      <c r="H464" s="63"/>
      <c r="I464" s="63"/>
      <c r="J464" s="63"/>
      <c r="K464" s="63"/>
      <c r="L464" s="63"/>
      <c r="M464" s="63"/>
      <c r="N464" s="63"/>
      <c r="O464" s="63"/>
      <c r="P464" s="63"/>
      <c r="Q464" s="63"/>
    </row>
    <row r="465" spans="3:17">
      <c r="C465" s="63"/>
      <c r="D465" s="63"/>
      <c r="E465" s="63"/>
      <c r="F465" s="63"/>
      <c r="G465" s="63"/>
      <c r="H465" s="63"/>
      <c r="I465" s="63"/>
      <c r="J465" s="63"/>
      <c r="K465" s="63"/>
      <c r="L465" s="63"/>
      <c r="M465" s="63"/>
      <c r="N465" s="63"/>
      <c r="O465" s="63"/>
      <c r="P465" s="63"/>
      <c r="Q465" s="63"/>
    </row>
    <row r="466" spans="3:17">
      <c r="C466" s="63"/>
      <c r="D466" s="63"/>
      <c r="E466" s="63"/>
      <c r="F466" s="63"/>
      <c r="G466" s="63"/>
      <c r="H466" s="63"/>
      <c r="I466" s="63"/>
      <c r="J466" s="63"/>
      <c r="K466" s="63"/>
      <c r="L466" s="63"/>
      <c r="M466" s="63"/>
      <c r="N466" s="63"/>
      <c r="O466" s="63"/>
      <c r="P466" s="63"/>
      <c r="Q466" s="63"/>
    </row>
    <row r="467" spans="3:17">
      <c r="C467" s="63"/>
      <c r="D467" s="63"/>
      <c r="E467" s="63"/>
      <c r="F467" s="63"/>
      <c r="G467" s="63"/>
      <c r="H467" s="63"/>
      <c r="I467" s="63"/>
      <c r="J467" s="63"/>
      <c r="K467" s="63"/>
      <c r="L467" s="63"/>
      <c r="M467" s="63"/>
      <c r="N467" s="63"/>
      <c r="O467" s="63"/>
      <c r="P467" s="63"/>
      <c r="Q467" s="63"/>
    </row>
    <row r="468" spans="3:17">
      <c r="C468" s="63"/>
      <c r="D468" s="63"/>
      <c r="E468" s="63"/>
      <c r="F468" s="63"/>
      <c r="G468" s="63"/>
      <c r="H468" s="63"/>
      <c r="I468" s="63"/>
      <c r="J468" s="63"/>
      <c r="K468" s="63"/>
      <c r="L468" s="63"/>
      <c r="M468" s="63"/>
      <c r="N468" s="63"/>
      <c r="O468" s="63"/>
      <c r="P468" s="63"/>
      <c r="Q468" s="63"/>
    </row>
    <row r="469" spans="3:17">
      <c r="C469" s="63"/>
      <c r="D469" s="63"/>
      <c r="E469" s="63"/>
      <c r="F469" s="63"/>
      <c r="G469" s="63"/>
      <c r="H469" s="63"/>
      <c r="I469" s="63"/>
      <c r="J469" s="63"/>
      <c r="K469" s="63"/>
      <c r="L469" s="63"/>
      <c r="M469" s="63"/>
      <c r="N469" s="63"/>
      <c r="O469" s="63"/>
      <c r="P469" s="63"/>
      <c r="Q469" s="63"/>
    </row>
    <row r="470" spans="3:17">
      <c r="C470" s="63"/>
      <c r="D470" s="63"/>
      <c r="E470" s="63"/>
      <c r="F470" s="63"/>
      <c r="G470" s="63"/>
      <c r="H470" s="63"/>
      <c r="I470" s="63"/>
      <c r="J470" s="63"/>
      <c r="K470" s="63"/>
      <c r="L470" s="63"/>
      <c r="M470" s="63"/>
      <c r="N470" s="63"/>
      <c r="O470" s="63"/>
      <c r="P470" s="63"/>
      <c r="Q470" s="63"/>
    </row>
    <row r="471" spans="3:17">
      <c r="C471" s="63"/>
      <c r="D471" s="63"/>
      <c r="E471" s="63"/>
      <c r="F471" s="63"/>
      <c r="G471" s="63"/>
      <c r="H471" s="63"/>
      <c r="I471" s="63"/>
      <c r="J471" s="63"/>
      <c r="K471" s="63"/>
      <c r="L471" s="63"/>
      <c r="M471" s="63"/>
      <c r="N471" s="63"/>
      <c r="O471" s="63"/>
      <c r="P471" s="63"/>
      <c r="Q471" s="63"/>
    </row>
    <row r="472" spans="3:17">
      <c r="C472" s="63"/>
      <c r="D472" s="63"/>
      <c r="E472" s="63"/>
      <c r="F472" s="63"/>
      <c r="G472" s="63"/>
      <c r="H472" s="63"/>
      <c r="I472" s="63"/>
      <c r="J472" s="63"/>
      <c r="K472" s="63"/>
      <c r="L472" s="63"/>
      <c r="M472" s="63"/>
      <c r="N472" s="63"/>
      <c r="O472" s="63"/>
      <c r="P472" s="63"/>
      <c r="Q472" s="63"/>
    </row>
    <row r="473" spans="3:17">
      <c r="C473" s="63"/>
      <c r="D473" s="63"/>
      <c r="E473" s="63"/>
      <c r="F473" s="63"/>
      <c r="G473" s="63"/>
      <c r="H473" s="63"/>
      <c r="I473" s="63"/>
      <c r="J473" s="63"/>
      <c r="K473" s="63"/>
      <c r="L473" s="63"/>
      <c r="M473" s="63"/>
      <c r="N473" s="63"/>
      <c r="O473" s="63"/>
      <c r="P473" s="63"/>
      <c r="Q473" s="63"/>
    </row>
    <row r="474" spans="3:17">
      <c r="C474" s="63"/>
      <c r="D474" s="63"/>
      <c r="E474" s="63"/>
      <c r="F474" s="63"/>
      <c r="G474" s="63"/>
      <c r="H474" s="63"/>
      <c r="I474" s="63"/>
      <c r="J474" s="63"/>
      <c r="K474" s="63"/>
      <c r="L474" s="63"/>
      <c r="M474" s="63"/>
      <c r="N474" s="63"/>
      <c r="O474" s="63"/>
      <c r="P474" s="63"/>
      <c r="Q474" s="63"/>
    </row>
    <row r="475" spans="3:17">
      <c r="C475" s="63"/>
      <c r="D475" s="63"/>
      <c r="E475" s="63"/>
      <c r="F475" s="63"/>
      <c r="G475" s="63"/>
      <c r="H475" s="63"/>
      <c r="I475" s="63"/>
      <c r="J475" s="63"/>
      <c r="K475" s="63"/>
      <c r="L475" s="63"/>
      <c r="M475" s="63"/>
      <c r="N475" s="63"/>
      <c r="O475" s="63"/>
      <c r="P475" s="63"/>
      <c r="Q475" s="63"/>
    </row>
    <row r="476" spans="3:17">
      <c r="C476" s="63"/>
      <c r="D476" s="63"/>
      <c r="E476" s="63"/>
      <c r="F476" s="63"/>
      <c r="G476" s="63"/>
      <c r="H476" s="63"/>
      <c r="I476" s="63"/>
      <c r="J476" s="63"/>
      <c r="K476" s="63"/>
      <c r="L476" s="63"/>
      <c r="M476" s="63"/>
      <c r="N476" s="63"/>
      <c r="O476" s="63"/>
      <c r="P476" s="63"/>
      <c r="Q476" s="63"/>
    </row>
    <row r="477" spans="3:17">
      <c r="C477" s="63"/>
      <c r="D477" s="63"/>
      <c r="E477" s="63"/>
      <c r="F477" s="63"/>
      <c r="G477" s="63"/>
      <c r="H477" s="63"/>
      <c r="I477" s="63"/>
      <c r="J477" s="63"/>
      <c r="K477" s="63"/>
      <c r="L477" s="63"/>
      <c r="M477" s="63"/>
      <c r="N477" s="63"/>
      <c r="O477" s="63"/>
      <c r="P477" s="63"/>
      <c r="Q477" s="63"/>
    </row>
    <row r="478" spans="3:17">
      <c r="C478" s="63"/>
      <c r="D478" s="63"/>
      <c r="E478" s="63"/>
      <c r="F478" s="63"/>
      <c r="G478" s="63"/>
      <c r="H478" s="63"/>
      <c r="I478" s="63"/>
      <c r="J478" s="63"/>
      <c r="K478" s="63"/>
      <c r="L478" s="63"/>
      <c r="M478" s="63"/>
      <c r="N478" s="63"/>
      <c r="O478" s="63"/>
      <c r="P478" s="63"/>
      <c r="Q478" s="63"/>
    </row>
    <row r="479" spans="3:17">
      <c r="C479" s="63"/>
      <c r="D479" s="63"/>
      <c r="E479" s="63"/>
      <c r="F479" s="63"/>
      <c r="G479" s="63"/>
      <c r="H479" s="63"/>
      <c r="I479" s="63"/>
      <c r="J479" s="63"/>
      <c r="K479" s="63"/>
      <c r="L479" s="63"/>
      <c r="M479" s="63"/>
      <c r="N479" s="63"/>
      <c r="O479" s="63"/>
      <c r="P479" s="63"/>
      <c r="Q479" s="63"/>
    </row>
    <row r="480" spans="3:17">
      <c r="C480" s="63"/>
      <c r="D480" s="63"/>
      <c r="E480" s="63"/>
      <c r="F480" s="63"/>
      <c r="G480" s="63"/>
      <c r="H480" s="63"/>
      <c r="I480" s="63"/>
      <c r="J480" s="63"/>
      <c r="K480" s="63"/>
      <c r="L480" s="63"/>
      <c r="M480" s="63"/>
      <c r="N480" s="63"/>
      <c r="O480" s="63"/>
      <c r="P480" s="63"/>
      <c r="Q480" s="63"/>
    </row>
    <row r="481" spans="3:17">
      <c r="C481" s="63"/>
      <c r="D481" s="63"/>
      <c r="E481" s="63"/>
      <c r="F481" s="63"/>
      <c r="G481" s="63"/>
      <c r="H481" s="63"/>
      <c r="I481" s="63"/>
      <c r="J481" s="63"/>
      <c r="K481" s="63"/>
      <c r="L481" s="63"/>
      <c r="M481" s="63"/>
      <c r="N481" s="63"/>
      <c r="O481" s="63"/>
      <c r="P481" s="63"/>
      <c r="Q481" s="63"/>
    </row>
    <row r="482" spans="3:17">
      <c r="C482" s="63"/>
      <c r="D482" s="63"/>
      <c r="E482" s="63"/>
      <c r="F482" s="63"/>
      <c r="G482" s="63"/>
      <c r="H482" s="63"/>
      <c r="I482" s="63"/>
      <c r="J482" s="63"/>
      <c r="K482" s="63"/>
      <c r="L482" s="63"/>
      <c r="M482" s="63"/>
      <c r="N482" s="63"/>
      <c r="O482" s="63"/>
      <c r="P482" s="63"/>
      <c r="Q482" s="63"/>
    </row>
    <row r="483" spans="3:17">
      <c r="C483" s="63"/>
      <c r="D483" s="63"/>
      <c r="E483" s="63"/>
      <c r="F483" s="63"/>
      <c r="G483" s="63"/>
      <c r="H483" s="63"/>
      <c r="I483" s="63"/>
      <c r="J483" s="63"/>
      <c r="K483" s="63"/>
      <c r="L483" s="63"/>
      <c r="M483" s="63"/>
      <c r="N483" s="63"/>
      <c r="O483" s="63"/>
      <c r="P483" s="63"/>
      <c r="Q483" s="63"/>
    </row>
    <row r="484" spans="3:17">
      <c r="C484" s="63"/>
      <c r="D484" s="63"/>
      <c r="E484" s="63"/>
      <c r="F484" s="63"/>
      <c r="G484" s="63"/>
      <c r="H484" s="63"/>
      <c r="I484" s="63"/>
      <c r="J484" s="63"/>
      <c r="K484" s="63"/>
      <c r="L484" s="63"/>
      <c r="M484" s="63"/>
      <c r="N484" s="63"/>
      <c r="O484" s="63"/>
      <c r="P484" s="63"/>
      <c r="Q484" s="63"/>
    </row>
    <row r="485" spans="3:17">
      <c r="C485" s="63"/>
      <c r="D485" s="63"/>
      <c r="E485" s="63"/>
      <c r="F485" s="63"/>
      <c r="G485" s="63"/>
      <c r="H485" s="63"/>
      <c r="I485" s="63"/>
      <c r="J485" s="63"/>
      <c r="K485" s="63"/>
      <c r="L485" s="63"/>
      <c r="M485" s="63"/>
      <c r="N485" s="63"/>
      <c r="O485" s="63"/>
      <c r="P485" s="63"/>
      <c r="Q485" s="63"/>
    </row>
    <row r="486" spans="3:17">
      <c r="C486" s="63"/>
      <c r="D486" s="63"/>
      <c r="E486" s="63"/>
      <c r="F486" s="63"/>
      <c r="G486" s="63"/>
      <c r="H486" s="63"/>
      <c r="I486" s="63"/>
      <c r="J486" s="63"/>
      <c r="K486" s="63"/>
      <c r="L486" s="63"/>
      <c r="M486" s="63"/>
      <c r="N486" s="63"/>
      <c r="O486" s="63"/>
      <c r="P486" s="63"/>
      <c r="Q486" s="63"/>
    </row>
    <row r="487" spans="3:17">
      <c r="C487" s="63"/>
      <c r="D487" s="63"/>
      <c r="E487" s="63"/>
      <c r="F487" s="63"/>
      <c r="G487" s="63"/>
      <c r="H487" s="63"/>
      <c r="I487" s="63"/>
      <c r="J487" s="63"/>
      <c r="K487" s="63"/>
      <c r="L487" s="63"/>
      <c r="M487" s="63"/>
      <c r="N487" s="63"/>
      <c r="O487" s="63"/>
      <c r="P487" s="63"/>
      <c r="Q487" s="63"/>
    </row>
    <row r="488" spans="3:17">
      <c r="C488" s="63"/>
      <c r="D488" s="63"/>
      <c r="E488" s="63"/>
      <c r="F488" s="63"/>
      <c r="G488" s="63"/>
      <c r="H488" s="63"/>
      <c r="I488" s="63"/>
      <c r="J488" s="63"/>
      <c r="K488" s="63"/>
      <c r="L488" s="63"/>
      <c r="M488" s="63"/>
      <c r="N488" s="63"/>
      <c r="O488" s="63"/>
      <c r="P488" s="63"/>
      <c r="Q488" s="63"/>
    </row>
    <row r="489" spans="3:17">
      <c r="C489" s="63"/>
      <c r="D489" s="63"/>
      <c r="E489" s="63"/>
      <c r="F489" s="63"/>
      <c r="G489" s="63"/>
      <c r="H489" s="63"/>
      <c r="I489" s="63"/>
      <c r="J489" s="63"/>
      <c r="K489" s="63"/>
      <c r="L489" s="63"/>
      <c r="M489" s="63"/>
      <c r="N489" s="63"/>
      <c r="O489" s="63"/>
      <c r="P489" s="63"/>
      <c r="Q489" s="63"/>
    </row>
    <row r="490" spans="3:17">
      <c r="C490" s="63"/>
      <c r="D490" s="63"/>
      <c r="E490" s="63"/>
      <c r="F490" s="63"/>
      <c r="G490" s="63"/>
      <c r="H490" s="63"/>
      <c r="I490" s="63"/>
      <c r="J490" s="63"/>
      <c r="K490" s="63"/>
      <c r="L490" s="63"/>
      <c r="M490" s="63"/>
      <c r="N490" s="63"/>
      <c r="O490" s="63"/>
      <c r="P490" s="63"/>
      <c r="Q490" s="63"/>
    </row>
    <row r="491" spans="3:17">
      <c r="C491" s="63"/>
      <c r="D491" s="63"/>
      <c r="E491" s="63"/>
      <c r="F491" s="63"/>
      <c r="G491" s="63"/>
      <c r="H491" s="63"/>
      <c r="I491" s="63"/>
      <c r="J491" s="63"/>
      <c r="K491" s="63"/>
      <c r="L491" s="63"/>
      <c r="M491" s="63"/>
      <c r="N491" s="63"/>
      <c r="O491" s="63"/>
      <c r="P491" s="63"/>
      <c r="Q491" s="63"/>
    </row>
    <row r="492" spans="3:17">
      <c r="C492" s="63"/>
      <c r="D492" s="63"/>
      <c r="E492" s="63"/>
      <c r="F492" s="63"/>
      <c r="G492" s="63"/>
      <c r="H492" s="63"/>
      <c r="I492" s="63"/>
      <c r="J492" s="63"/>
      <c r="K492" s="63"/>
      <c r="L492" s="63"/>
      <c r="M492" s="63"/>
      <c r="N492" s="63"/>
      <c r="O492" s="63"/>
      <c r="P492" s="63"/>
      <c r="Q492" s="63"/>
    </row>
    <row r="493" spans="3:17">
      <c r="C493" s="63"/>
      <c r="D493" s="63"/>
      <c r="E493" s="63"/>
      <c r="F493" s="63"/>
      <c r="G493" s="63"/>
      <c r="H493" s="63"/>
      <c r="I493" s="63"/>
      <c r="J493" s="63"/>
      <c r="K493" s="63"/>
      <c r="L493" s="63"/>
      <c r="M493" s="63"/>
      <c r="N493" s="63"/>
      <c r="O493" s="63"/>
      <c r="P493" s="63"/>
      <c r="Q493" s="63"/>
    </row>
    <row r="494" spans="3:17">
      <c r="C494" s="63"/>
      <c r="D494" s="63"/>
      <c r="E494" s="63"/>
      <c r="F494" s="63"/>
      <c r="G494" s="63"/>
      <c r="H494" s="63"/>
      <c r="I494" s="63"/>
      <c r="J494" s="63"/>
      <c r="K494" s="63"/>
      <c r="L494" s="63"/>
      <c r="M494" s="63"/>
      <c r="N494" s="63"/>
      <c r="O494" s="63"/>
      <c r="P494" s="63"/>
      <c r="Q494" s="63"/>
    </row>
    <row r="495" spans="3:17">
      <c r="C495" s="63"/>
      <c r="D495" s="63"/>
      <c r="E495" s="63"/>
      <c r="F495" s="63"/>
      <c r="G495" s="63"/>
      <c r="H495" s="63"/>
      <c r="I495" s="63"/>
      <c r="J495" s="63"/>
      <c r="K495" s="63"/>
      <c r="L495" s="63"/>
      <c r="M495" s="63"/>
      <c r="N495" s="63"/>
      <c r="O495" s="63"/>
      <c r="P495" s="63"/>
      <c r="Q495" s="63"/>
    </row>
    <row r="496" spans="3:17">
      <c r="C496" s="63"/>
      <c r="D496" s="63"/>
      <c r="E496" s="63"/>
      <c r="F496" s="63"/>
      <c r="G496" s="63"/>
      <c r="H496" s="63"/>
      <c r="I496" s="63"/>
      <c r="J496" s="63"/>
      <c r="K496" s="63"/>
      <c r="L496" s="63"/>
      <c r="M496" s="63"/>
      <c r="N496" s="63"/>
      <c r="O496" s="63"/>
      <c r="P496" s="63"/>
      <c r="Q496" s="63"/>
    </row>
    <row r="497" spans="3:17">
      <c r="C497" s="63"/>
      <c r="D497" s="63"/>
      <c r="E497" s="63"/>
      <c r="F497" s="63"/>
      <c r="G497" s="63"/>
      <c r="H497" s="63"/>
      <c r="I497" s="63"/>
      <c r="J497" s="63"/>
      <c r="K497" s="63"/>
      <c r="L497" s="63"/>
      <c r="M497" s="63"/>
      <c r="N497" s="63"/>
      <c r="O497" s="63"/>
      <c r="P497" s="63"/>
      <c r="Q497" s="63"/>
    </row>
    <row r="498" spans="3:17">
      <c r="C498" s="63"/>
      <c r="D498" s="63"/>
      <c r="E498" s="63"/>
      <c r="F498" s="63"/>
      <c r="G498" s="63"/>
      <c r="H498" s="63"/>
      <c r="I498" s="63"/>
      <c r="J498" s="63"/>
      <c r="K498" s="63"/>
      <c r="L498" s="63"/>
      <c r="M498" s="63"/>
      <c r="N498" s="63"/>
      <c r="O498" s="63"/>
      <c r="P498" s="63"/>
      <c r="Q498" s="63"/>
    </row>
    <row r="499" spans="3:17">
      <c r="C499" s="63"/>
      <c r="D499" s="63"/>
      <c r="E499" s="63"/>
      <c r="F499" s="63"/>
      <c r="G499" s="63"/>
      <c r="H499" s="63"/>
      <c r="I499" s="63"/>
      <c r="J499" s="63"/>
      <c r="K499" s="63"/>
      <c r="L499" s="63"/>
      <c r="M499" s="63"/>
      <c r="N499" s="63"/>
      <c r="O499" s="63"/>
      <c r="P499" s="63"/>
      <c r="Q499" s="63"/>
    </row>
    <row r="500" spans="3:17">
      <c r="C500" s="63"/>
      <c r="D500" s="63"/>
      <c r="E500" s="63"/>
      <c r="F500" s="63"/>
      <c r="G500" s="63"/>
      <c r="H500" s="63"/>
      <c r="I500" s="63"/>
      <c r="J500" s="63"/>
      <c r="K500" s="63"/>
      <c r="L500" s="63"/>
      <c r="M500" s="63"/>
      <c r="N500" s="63"/>
      <c r="O500" s="63"/>
      <c r="P500" s="63"/>
      <c r="Q500" s="63"/>
    </row>
  </sheetData>
  <mergeCells count="6">
    <mergeCell ref="C269:L269"/>
    <mergeCell ref="K212:M212"/>
    <mergeCell ref="C276:L276"/>
    <mergeCell ref="C259:L259"/>
    <mergeCell ref="C265:L266"/>
    <mergeCell ref="C267:L268"/>
  </mergeCells>
  <phoneticPr fontId="0" type="noConversion"/>
  <pageMargins left="0.52" right="0.25" top="0.77" bottom="0.75" header="0.5" footer="0.5"/>
  <pageSetup scale="42" fitToHeight="6" orientation="portrait" horizontalDpi="300" verticalDpi="300" r:id="rId1"/>
  <headerFooter alignWithMargins="0">
    <oddHeader xml:space="preserve">&amp;R&amp;"Times New Roman,Regular"
</oddHeader>
  </headerFooter>
  <rowBreaks count="4" manualBreakCount="4">
    <brk id="41" max="12" man="1"/>
    <brk id="99" max="16383" man="1"/>
    <brk id="171" max="12" man="1"/>
    <brk id="21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H264"/>
  <sheetViews>
    <sheetView view="pageBreakPreview" zoomScale="60" zoomScaleNormal="100" workbookViewId="0">
      <selection activeCell="C24" sqref="C24"/>
    </sheetView>
  </sheetViews>
  <sheetFormatPr defaultColWidth="8.77734375" defaultRowHeight="15"/>
  <cols>
    <col min="1" max="1" width="7.21875" style="170" customWidth="1"/>
    <col min="2" max="2" width="57.77734375" style="170" customWidth="1"/>
    <col min="3" max="3" width="28.21875" style="170" customWidth="1"/>
    <col min="4" max="4" width="10.77734375" style="191" bestFit="1" customWidth="1"/>
    <col min="5" max="5" width="9.21875" style="170" bestFit="1" customWidth="1"/>
    <col min="6" max="16384" width="8.77734375" style="170"/>
  </cols>
  <sheetData>
    <row r="1" spans="1:7" ht="18">
      <c r="A1" s="1521" t="s">
        <v>486</v>
      </c>
      <c r="B1" s="1521"/>
      <c r="C1" s="1521"/>
      <c r="D1" s="1521"/>
    </row>
    <row r="2" spans="1:7" ht="18">
      <c r="A2" s="1521" t="str">
        <f>'Appendix III'!$E$8</f>
        <v>MidAmerican Central California Transco, LLC</v>
      </c>
      <c r="B2" s="1521"/>
      <c r="C2" s="1521"/>
      <c r="D2" s="1521"/>
    </row>
    <row r="3" spans="1:7">
      <c r="A3" s="199"/>
      <c r="B3" s="199"/>
      <c r="C3" s="199"/>
      <c r="D3" s="1156"/>
    </row>
    <row r="4" spans="1:7">
      <c r="A4" s="199"/>
      <c r="B4" s="199"/>
      <c r="C4" s="199"/>
      <c r="D4" s="1156"/>
    </row>
    <row r="5" spans="1:7" ht="15.75">
      <c r="A5" s="1153"/>
      <c r="B5" s="1154" t="s">
        <v>183</v>
      </c>
      <c r="C5" s="1155" t="s">
        <v>440</v>
      </c>
      <c r="D5" s="1156"/>
      <c r="E5" s="1164"/>
    </row>
    <row r="6" spans="1:7">
      <c r="A6" s="1153">
        <v>1</v>
      </c>
      <c r="B6" s="1157" t="s">
        <v>294</v>
      </c>
      <c r="C6" s="1155" t="s">
        <v>940</v>
      </c>
      <c r="D6" s="1162">
        <f>+C45</f>
        <v>0</v>
      </c>
      <c r="E6" s="1164"/>
    </row>
    <row r="7" spans="1:7">
      <c r="A7" s="1153"/>
      <c r="B7" s="199"/>
      <c r="C7" s="1157"/>
      <c r="D7" s="1159"/>
      <c r="E7" s="1163"/>
      <c r="G7" s="201"/>
    </row>
    <row r="8" spans="1:7" ht="15.75">
      <c r="A8" s="1153"/>
      <c r="B8" s="386" t="s">
        <v>319</v>
      </c>
      <c r="C8" s="1155" t="s">
        <v>440</v>
      </c>
      <c r="D8" s="1156"/>
      <c r="E8" s="1163"/>
      <c r="G8" s="200"/>
    </row>
    <row r="9" spans="1:7">
      <c r="A9" s="1160">
        <f>+A6+1</f>
        <v>2</v>
      </c>
      <c r="B9" s="1157" t="s">
        <v>295</v>
      </c>
      <c r="C9" s="1157"/>
      <c r="D9" s="1158">
        <v>0</v>
      </c>
      <c r="E9" s="1163"/>
      <c r="G9" s="200"/>
    </row>
    <row r="10" spans="1:7">
      <c r="A10" s="1160">
        <v>3</v>
      </c>
      <c r="B10" s="1157" t="s">
        <v>438</v>
      </c>
      <c r="C10" s="1157"/>
      <c r="D10" s="1158">
        <v>0</v>
      </c>
      <c r="E10" s="1163"/>
      <c r="G10" s="200"/>
    </row>
    <row r="11" spans="1:7">
      <c r="A11" s="1160">
        <v>4</v>
      </c>
      <c r="B11" s="1157" t="s">
        <v>182</v>
      </c>
      <c r="C11" s="1161"/>
      <c r="D11" s="1158">
        <v>0</v>
      </c>
      <c r="E11" s="1163"/>
      <c r="F11" s="171"/>
      <c r="G11" s="198"/>
    </row>
    <row r="12" spans="1:7">
      <c r="A12" s="1160">
        <f>+A11+1</f>
        <v>5</v>
      </c>
      <c r="B12" s="1157" t="s">
        <v>439</v>
      </c>
      <c r="C12" s="1153"/>
      <c r="D12" s="1158">
        <v>0</v>
      </c>
      <c r="E12" s="1163"/>
    </row>
    <row r="13" spans="1:7">
      <c r="A13" s="1160">
        <f>+A12+1</f>
        <v>6</v>
      </c>
      <c r="B13" s="1157" t="s">
        <v>837</v>
      </c>
      <c r="C13" s="1153"/>
      <c r="D13" s="1162">
        <f>+'10 Lease O&amp;M, Other Tax and 413'!D55</f>
        <v>0</v>
      </c>
      <c r="E13" s="1163"/>
    </row>
    <row r="14" spans="1:7">
      <c r="A14" s="1153"/>
      <c r="B14" s="1157"/>
      <c r="C14" s="1155"/>
      <c r="D14" s="821"/>
      <c r="E14" s="1163"/>
    </row>
    <row r="15" spans="1:7">
      <c r="A15" s="1153">
        <f>+A13+1</f>
        <v>7</v>
      </c>
      <c r="B15" s="1157" t="s">
        <v>181</v>
      </c>
      <c r="C15" s="1155" t="str">
        <f>"Sum lines "&amp;A9&amp;"-"&amp;A13&amp;" + line "&amp;A6&amp;""</f>
        <v>Sum lines 2-6 + line 1</v>
      </c>
      <c r="D15" s="1162">
        <f>SUM(D9:D14)+D6</f>
        <v>0</v>
      </c>
      <c r="E15" s="1163"/>
    </row>
    <row r="16" spans="1:7">
      <c r="A16" s="1153"/>
      <c r="B16" s="1155"/>
      <c r="C16" s="1153"/>
      <c r="D16" s="1162"/>
      <c r="E16" s="1163"/>
    </row>
    <row r="17" spans="1:8">
      <c r="A17" s="188"/>
      <c r="C17" s="199"/>
      <c r="D17" s="1166"/>
      <c r="E17" s="1165"/>
    </row>
    <row r="18" spans="1:8" s="195" customFormat="1" ht="12.75">
      <c r="A18" s="171"/>
      <c r="B18" s="188"/>
      <c r="C18" s="188"/>
      <c r="D18" s="197"/>
      <c r="E18" s="196"/>
    </row>
    <row r="19" spans="1:8" ht="96.75" customHeight="1">
      <c r="A19" s="434" t="s">
        <v>180</v>
      </c>
      <c r="B19" s="1522" t="s">
        <v>504</v>
      </c>
      <c r="C19" s="1522"/>
      <c r="D19" s="1522"/>
      <c r="E19" s="1522"/>
      <c r="F19" s="1522"/>
    </row>
    <row r="20" spans="1:8" ht="38.25" customHeight="1">
      <c r="A20" s="434" t="s">
        <v>179</v>
      </c>
      <c r="B20" s="1522" t="s">
        <v>1002</v>
      </c>
      <c r="C20" s="1522"/>
      <c r="D20" s="1522"/>
      <c r="E20" s="1522"/>
      <c r="F20" s="1522"/>
    </row>
    <row r="21" spans="1:8" ht="15.75">
      <c r="A21" s="434" t="s">
        <v>441</v>
      </c>
      <c r="B21" s="434" t="s">
        <v>178</v>
      </c>
      <c r="C21" s="434"/>
      <c r="D21" s="1186"/>
      <c r="E21" s="1187"/>
      <c r="F21" s="1187"/>
    </row>
    <row r="22" spans="1:8" ht="12.75">
      <c r="A22" s="450"/>
      <c r="B22" s="450"/>
      <c r="C22" s="450"/>
      <c r="D22" s="450"/>
      <c r="E22" s="450"/>
      <c r="F22" s="450"/>
      <c r="G22" s="450"/>
      <c r="H22" s="450"/>
    </row>
    <row r="23" spans="1:8">
      <c r="A23" s="1167" t="s">
        <v>304</v>
      </c>
      <c r="B23" s="1168"/>
      <c r="C23" s="1168"/>
      <c r="D23" s="1168"/>
      <c r="E23" s="1168"/>
      <c r="F23" s="1169"/>
      <c r="G23" s="452"/>
      <c r="H23" s="452"/>
    </row>
    <row r="24" spans="1:8">
      <c r="A24" s="1170">
        <v>1</v>
      </c>
      <c r="B24" s="1153" t="s">
        <v>1</v>
      </c>
      <c r="C24" s="1171" t="s">
        <v>305</v>
      </c>
      <c r="D24" s="1171" t="s">
        <v>479</v>
      </c>
      <c r="E24" s="1171" t="s">
        <v>311</v>
      </c>
      <c r="F24" s="1171" t="s">
        <v>312</v>
      </c>
    </row>
    <row r="25" spans="1:8">
      <c r="A25" s="1170" t="s">
        <v>313</v>
      </c>
      <c r="B25" s="1172" t="s">
        <v>306</v>
      </c>
      <c r="C25" s="1173">
        <f>SUM(D25:F25)</f>
        <v>0</v>
      </c>
      <c r="D25" s="1174">
        <v>0</v>
      </c>
      <c r="E25" s="1174">
        <v>0</v>
      </c>
      <c r="F25" s="1174">
        <v>0</v>
      </c>
    </row>
    <row r="26" spans="1:8">
      <c r="A26" s="1170" t="s">
        <v>316</v>
      </c>
      <c r="B26" s="1172" t="s">
        <v>307</v>
      </c>
      <c r="C26" s="1173">
        <f>SUM(D26:F26)</f>
        <v>0</v>
      </c>
      <c r="D26" s="1174">
        <v>0</v>
      </c>
      <c r="E26" s="1174">
        <v>0</v>
      </c>
      <c r="F26" s="1174">
        <v>0</v>
      </c>
    </row>
    <row r="27" spans="1:8">
      <c r="A27" s="1170">
        <v>2</v>
      </c>
      <c r="B27" s="1172" t="s">
        <v>308</v>
      </c>
      <c r="C27" s="1175">
        <f>SUM(D27:F27)</f>
        <v>0</v>
      </c>
      <c r="D27" s="1174">
        <v>0</v>
      </c>
      <c r="E27" s="1174">
        <v>0</v>
      </c>
      <c r="F27" s="1174">
        <v>0</v>
      </c>
    </row>
    <row r="28" spans="1:8">
      <c r="A28" s="1170">
        <v>3</v>
      </c>
      <c r="B28" s="1172" t="s">
        <v>21</v>
      </c>
      <c r="C28" s="1176">
        <f>SUM(C25:C27)</f>
        <v>0</v>
      </c>
      <c r="D28" s="1176">
        <f>SUM(D25:D27)</f>
        <v>0</v>
      </c>
      <c r="E28" s="1176">
        <f>SUM(E25:E27)</f>
        <v>0</v>
      </c>
      <c r="F28" s="1176">
        <f>SUM(F25:F27)</f>
        <v>0</v>
      </c>
    </row>
    <row r="29" spans="1:8">
      <c r="A29" s="1170">
        <v>4</v>
      </c>
      <c r="B29" s="1172" t="s">
        <v>309</v>
      </c>
      <c r="C29" s="1172"/>
      <c r="D29" s="1172"/>
      <c r="E29" s="1172"/>
      <c r="F29" s="1172"/>
    </row>
    <row r="30" spans="1:8">
      <c r="A30" s="1170">
        <v>5</v>
      </c>
      <c r="B30" s="1172" t="s">
        <v>315</v>
      </c>
      <c r="C30" s="1177">
        <f>SUM(D30:F30)</f>
        <v>0</v>
      </c>
      <c r="D30" s="1178">
        <v>0</v>
      </c>
      <c r="E30" s="1178">
        <v>0</v>
      </c>
      <c r="F30" s="1178">
        <v>0</v>
      </c>
    </row>
    <row r="31" spans="1:8">
      <c r="A31" s="1170">
        <v>6</v>
      </c>
      <c r="B31" s="1172" t="s">
        <v>487</v>
      </c>
      <c r="C31" s="1179">
        <f>SUM(D31:F31)</f>
        <v>0</v>
      </c>
      <c r="D31" s="1178">
        <v>0</v>
      </c>
      <c r="E31" s="1178">
        <v>0</v>
      </c>
      <c r="F31" s="1178">
        <v>0</v>
      </c>
    </row>
    <row r="32" spans="1:8" ht="15.75">
      <c r="A32" s="1170">
        <v>7</v>
      </c>
      <c r="B32" s="1180" t="s">
        <v>310</v>
      </c>
      <c r="C32" s="1179">
        <f>+C28-C30-C31</f>
        <v>0</v>
      </c>
      <c r="D32" s="1179">
        <f>+D28-D30-D31</f>
        <v>0</v>
      </c>
      <c r="E32" s="1179">
        <f>+E28-E30-E31</f>
        <v>0</v>
      </c>
      <c r="F32" s="1179">
        <f>+F28-F30-F31</f>
        <v>0</v>
      </c>
    </row>
    <row r="33" spans="1:8">
      <c r="A33" s="1170">
        <v>8</v>
      </c>
      <c r="B33" s="1172" t="s">
        <v>314</v>
      </c>
      <c r="C33" s="1178">
        <v>0</v>
      </c>
      <c r="D33" s="1178">
        <v>0</v>
      </c>
      <c r="E33" s="1178">
        <v>0</v>
      </c>
      <c r="F33" s="1178">
        <v>0</v>
      </c>
    </row>
    <row r="34" spans="1:8">
      <c r="A34" s="1181">
        <v>9</v>
      </c>
      <c r="B34" s="1155" t="str">
        <f>+B45</f>
        <v>Total</v>
      </c>
      <c r="C34" s="1182">
        <f>SUM(C32:C33)</f>
        <v>0</v>
      </c>
      <c r="D34" s="1156"/>
      <c r="E34" s="1155"/>
      <c r="F34" s="1155"/>
      <c r="G34" s="199"/>
      <c r="H34" s="199"/>
    </row>
    <row r="35" spans="1:8">
      <c r="A35" s="1181"/>
      <c r="B35" s="1155"/>
      <c r="C35" s="1155"/>
      <c r="D35" s="1156"/>
      <c r="E35" s="1155"/>
      <c r="F35" s="1155"/>
      <c r="G35" s="199"/>
      <c r="H35" s="199"/>
    </row>
    <row r="36" spans="1:8">
      <c r="A36" s="1183">
        <v>10</v>
      </c>
      <c r="B36" s="1153" t="s">
        <v>177</v>
      </c>
      <c r="C36" s="1184" t="s">
        <v>62</v>
      </c>
      <c r="D36" s="1155"/>
      <c r="E36" s="1155"/>
      <c r="F36" s="1155"/>
      <c r="G36" s="199"/>
      <c r="H36" s="199"/>
    </row>
    <row r="37" spans="1:8">
      <c r="A37" s="1183" t="s">
        <v>514</v>
      </c>
      <c r="B37" s="1153" t="s">
        <v>176</v>
      </c>
      <c r="C37" s="1158">
        <v>0</v>
      </c>
      <c r="D37" s="1155"/>
      <c r="E37" s="1155"/>
      <c r="F37" s="1155"/>
      <c r="G37" s="199"/>
      <c r="H37" s="199"/>
    </row>
    <row r="38" spans="1:8">
      <c r="A38" s="1183" t="s">
        <v>515</v>
      </c>
      <c r="B38" s="1153" t="s">
        <v>184</v>
      </c>
      <c r="C38" s="1158">
        <v>0</v>
      </c>
      <c r="D38" s="1155"/>
      <c r="E38" s="1155"/>
      <c r="F38" s="1155"/>
      <c r="G38" s="199"/>
      <c r="H38" s="199"/>
    </row>
    <row r="39" spans="1:8">
      <c r="A39" s="1183" t="s">
        <v>516</v>
      </c>
      <c r="B39" s="1153" t="s">
        <v>175</v>
      </c>
      <c r="C39" s="1158">
        <v>0</v>
      </c>
      <c r="D39" s="1155"/>
      <c r="E39" s="1155"/>
      <c r="F39" s="1155"/>
      <c r="G39" s="199"/>
      <c r="H39" s="199"/>
    </row>
    <row r="40" spans="1:8">
      <c r="A40" s="1183" t="s">
        <v>517</v>
      </c>
      <c r="B40" s="1153" t="s">
        <v>174</v>
      </c>
      <c r="C40" s="1158">
        <v>0</v>
      </c>
      <c r="D40" s="1155"/>
      <c r="E40" s="1155"/>
      <c r="F40" s="1155"/>
      <c r="G40" s="199"/>
      <c r="H40" s="199"/>
    </row>
    <row r="41" spans="1:8">
      <c r="A41" s="1183" t="s">
        <v>518</v>
      </c>
      <c r="B41" s="1153" t="s">
        <v>173</v>
      </c>
      <c r="C41" s="1158">
        <v>0</v>
      </c>
      <c r="D41" s="1155"/>
      <c r="E41" s="1155"/>
      <c r="F41" s="1155"/>
      <c r="G41" s="199"/>
      <c r="H41" s="199"/>
    </row>
    <row r="42" spans="1:8">
      <c r="A42" s="1183" t="s">
        <v>519</v>
      </c>
      <c r="B42" s="1153" t="s">
        <v>172</v>
      </c>
      <c r="C42" s="1158">
        <v>0</v>
      </c>
      <c r="D42" s="1155"/>
      <c r="E42" s="1155"/>
      <c r="F42" s="1155"/>
      <c r="G42" s="199"/>
      <c r="H42" s="199"/>
    </row>
    <row r="43" spans="1:8">
      <c r="A43" s="1183" t="s">
        <v>520</v>
      </c>
      <c r="B43" s="1153" t="s">
        <v>171</v>
      </c>
      <c r="C43" s="1158">
        <v>0</v>
      </c>
      <c r="D43" s="1155"/>
      <c r="E43" s="1155"/>
      <c r="F43" s="1155"/>
      <c r="G43" s="199"/>
      <c r="H43" s="199"/>
    </row>
    <row r="44" spans="1:8">
      <c r="A44" s="1183" t="s">
        <v>521</v>
      </c>
      <c r="B44" s="1153" t="s">
        <v>170</v>
      </c>
      <c r="C44" s="1158">
        <v>0</v>
      </c>
      <c r="D44" s="1155"/>
      <c r="E44" s="1155"/>
      <c r="F44" s="1155"/>
      <c r="G44" s="199"/>
      <c r="H44" s="199"/>
    </row>
    <row r="45" spans="1:8">
      <c r="A45" s="1183">
        <v>11</v>
      </c>
      <c r="B45" s="1153" t="s">
        <v>21</v>
      </c>
      <c r="C45" s="1185">
        <f>SUM(C37:C44)</f>
        <v>0</v>
      </c>
      <c r="D45" s="1155"/>
      <c r="E45" s="1155"/>
      <c r="F45" s="1155"/>
      <c r="G45" s="199"/>
      <c r="H45" s="199"/>
    </row>
    <row r="46" spans="1:8" ht="12.75">
      <c r="A46" s="199"/>
      <c r="B46" s="199"/>
      <c r="C46" s="199"/>
      <c r="D46" s="451"/>
      <c r="E46" s="199"/>
      <c r="F46" s="199"/>
      <c r="G46" s="199"/>
      <c r="H46" s="199"/>
    </row>
    <row r="47" spans="1:8" ht="99" customHeight="1">
      <c r="A47" s="435"/>
      <c r="B47" s="1520"/>
      <c r="C47" s="1520"/>
      <c r="D47" s="1520"/>
      <c r="E47" s="1520"/>
      <c r="F47" s="1520"/>
    </row>
    <row r="122" spans="4:4">
      <c r="D122" s="194"/>
    </row>
    <row r="228" spans="8:8">
      <c r="H228" s="862">
        <v>0.112</v>
      </c>
    </row>
    <row r="241" spans="3:7" ht="15.75">
      <c r="C241" s="192"/>
      <c r="D241" s="193"/>
      <c r="E241" s="192"/>
      <c r="F241" s="192"/>
      <c r="G241" s="192"/>
    </row>
    <row r="242" spans="3:7" ht="99.75" customHeight="1">
      <c r="C242" s="192"/>
      <c r="D242" s="193"/>
      <c r="E242" s="192"/>
      <c r="F242" s="192"/>
      <c r="G242" s="192"/>
    </row>
    <row r="243" spans="3:7" ht="15.75">
      <c r="C243" s="192"/>
      <c r="D243" s="193"/>
      <c r="E243" s="192"/>
      <c r="F243" s="192"/>
      <c r="G243" s="192"/>
    </row>
    <row r="244" spans="3:7" ht="15.75">
      <c r="C244" s="192"/>
      <c r="D244" s="193"/>
      <c r="E244" s="192"/>
      <c r="F244" s="192"/>
      <c r="G244" s="192"/>
    </row>
    <row r="245" spans="3:7" ht="15.75">
      <c r="C245" s="192"/>
      <c r="D245" s="193"/>
      <c r="E245" s="192"/>
      <c r="F245" s="192"/>
      <c r="G245" s="192"/>
    </row>
    <row r="246" spans="3:7" ht="15.75">
      <c r="C246" s="192"/>
      <c r="D246" s="193"/>
      <c r="E246" s="192"/>
      <c r="F246" s="192"/>
      <c r="G246" s="192"/>
    </row>
    <row r="247" spans="3:7" ht="15.75">
      <c r="C247" s="192"/>
      <c r="D247" s="193"/>
      <c r="E247" s="192"/>
      <c r="F247" s="192"/>
      <c r="G247" s="192"/>
    </row>
    <row r="248" spans="3:7" ht="15.75">
      <c r="C248" s="192"/>
      <c r="D248" s="193"/>
      <c r="E248" s="192"/>
      <c r="F248" s="192"/>
      <c r="G248" s="192"/>
    </row>
    <row r="249" spans="3:7" ht="15.75">
      <c r="C249" s="192"/>
      <c r="D249" s="193"/>
      <c r="E249" s="192"/>
      <c r="F249" s="192"/>
      <c r="G249" s="192"/>
    </row>
    <row r="250" spans="3:7" ht="15.75">
      <c r="C250" s="192"/>
      <c r="D250" s="193"/>
      <c r="E250" s="192"/>
      <c r="F250" s="192"/>
      <c r="G250" s="192"/>
    </row>
    <row r="251" spans="3:7" ht="15.75">
      <c r="C251" s="192"/>
      <c r="D251" s="193"/>
      <c r="E251" s="192"/>
      <c r="F251" s="192"/>
      <c r="G251" s="192"/>
    </row>
    <row r="252" spans="3:7" ht="15.75">
      <c r="C252" s="192"/>
      <c r="D252" s="193"/>
      <c r="E252" s="192"/>
      <c r="F252" s="192"/>
      <c r="G252" s="192"/>
    </row>
    <row r="253" spans="3:7" ht="15.75">
      <c r="C253" s="192"/>
      <c r="D253" s="193"/>
      <c r="E253" s="192"/>
      <c r="F253" s="192"/>
      <c r="G253" s="192"/>
    </row>
    <row r="254" spans="3:7" ht="15.75">
      <c r="C254" s="192"/>
      <c r="D254" s="193"/>
      <c r="E254" s="192"/>
      <c r="F254" s="192"/>
      <c r="G254" s="192"/>
    </row>
    <row r="255" spans="3:7" ht="15.75">
      <c r="C255" s="192"/>
      <c r="D255" s="193"/>
      <c r="E255" s="192"/>
      <c r="F255" s="192"/>
      <c r="G255" s="192"/>
    </row>
    <row r="256" spans="3:7" ht="15.75">
      <c r="C256" s="192"/>
      <c r="D256" s="193"/>
      <c r="E256" s="192"/>
      <c r="F256" s="192"/>
      <c r="G256" s="192"/>
    </row>
    <row r="257" spans="3:7" ht="15.75">
      <c r="C257" s="192"/>
      <c r="D257" s="193"/>
      <c r="E257" s="192"/>
      <c r="F257" s="192"/>
      <c r="G257" s="192"/>
    </row>
    <row r="258" spans="3:7" ht="15.75">
      <c r="C258" s="192"/>
      <c r="D258" s="193"/>
      <c r="E258" s="192"/>
      <c r="F258" s="192"/>
      <c r="G258" s="192"/>
    </row>
    <row r="259" spans="3:7" ht="15.75">
      <c r="C259" s="192"/>
      <c r="D259" s="193"/>
      <c r="E259" s="192"/>
      <c r="F259" s="192"/>
      <c r="G259" s="192"/>
    </row>
    <row r="260" spans="3:7" ht="15.75">
      <c r="C260" s="192"/>
      <c r="D260" s="193"/>
      <c r="E260" s="192"/>
      <c r="F260" s="192"/>
      <c r="G260" s="192"/>
    </row>
    <row r="261" spans="3:7" ht="15.75">
      <c r="C261" s="192"/>
      <c r="D261" s="193"/>
      <c r="E261" s="192"/>
      <c r="F261" s="192"/>
      <c r="G261" s="192"/>
    </row>
    <row r="262" spans="3:7" ht="15.75">
      <c r="C262" s="192"/>
      <c r="D262" s="193"/>
      <c r="E262" s="192"/>
      <c r="F262" s="192"/>
      <c r="G262" s="192"/>
    </row>
    <row r="263" spans="3:7" ht="40.5" customHeight="1">
      <c r="C263" s="192"/>
      <c r="D263" s="193"/>
      <c r="E263" s="192"/>
      <c r="F263" s="192"/>
      <c r="G263" s="192"/>
    </row>
    <row r="264" spans="3:7" ht="15.75">
      <c r="C264" s="192"/>
      <c r="D264" s="193"/>
      <c r="E264" s="192"/>
      <c r="F264" s="192"/>
      <c r="G264" s="192"/>
    </row>
  </sheetData>
  <mergeCells count="5">
    <mergeCell ref="B47:F47"/>
    <mergeCell ref="A1:D1"/>
    <mergeCell ref="A2:D2"/>
    <mergeCell ref="B19:F19"/>
    <mergeCell ref="B20:F20"/>
  </mergeCells>
  <phoneticPr fontId="0" type="noConversion"/>
  <pageMargins left="0.75" right="0.75" top="1.28" bottom="1" header="0.5" footer="0.5"/>
  <pageSetup scale="61" orientation="portrait" r:id="rId1"/>
  <headerFooter alignWithMargins="0"/>
  <rowBreaks count="1" manualBreakCount="1">
    <brk id="6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N162"/>
  <sheetViews>
    <sheetView view="pageBreakPreview" topLeftCell="A31" zoomScale="60" zoomScaleNormal="100" workbookViewId="0">
      <selection activeCell="D32" sqref="D32"/>
    </sheetView>
  </sheetViews>
  <sheetFormatPr defaultColWidth="8.77734375" defaultRowHeight="12.75"/>
  <cols>
    <col min="1" max="1" width="5" style="203" customWidth="1"/>
    <col min="2" max="2" width="3.21875" style="199" customWidth="1"/>
    <col min="3" max="3" width="48.21875" style="199" customWidth="1"/>
    <col min="4" max="4" width="18.77734375" style="199" customWidth="1"/>
    <col min="5" max="5" width="13.77734375" style="199" customWidth="1"/>
    <col min="6" max="6" width="18.109375" style="199" customWidth="1"/>
    <col min="7" max="7" width="15.21875" style="199" customWidth="1"/>
    <col min="8" max="8" width="11.77734375" style="199" customWidth="1"/>
    <col min="9" max="9" width="13" style="199" customWidth="1"/>
    <col min="10" max="10" width="10.77734375" style="199" customWidth="1"/>
    <col min="11" max="11" width="9" style="199" customWidth="1"/>
    <col min="12" max="13" width="7.5546875" style="199" customWidth="1"/>
    <col min="14" max="16384" width="8.77734375" style="199"/>
  </cols>
  <sheetData>
    <row r="1" spans="1:13" ht="22.5" customHeight="1">
      <c r="A1" s="1528" t="s">
        <v>391</v>
      </c>
      <c r="B1" s="1528"/>
      <c r="C1" s="1528"/>
      <c r="D1" s="1528"/>
      <c r="E1" s="1528"/>
      <c r="F1" s="1528"/>
      <c r="G1" s="741"/>
      <c r="H1" s="741"/>
      <c r="I1" s="741"/>
      <c r="J1" s="741"/>
      <c r="K1" s="741"/>
      <c r="L1" s="741"/>
      <c r="M1" s="741"/>
    </row>
    <row r="2" spans="1:13" ht="18">
      <c r="A2" s="1528" t="str">
        <f>'Appendix III'!$E$8</f>
        <v>MidAmerican Central California Transco, LLC</v>
      </c>
      <c r="B2" s="1528"/>
      <c r="C2" s="1528"/>
      <c r="D2" s="1528"/>
      <c r="E2" s="1528"/>
      <c r="F2" s="1528"/>
      <c r="G2" s="741"/>
      <c r="H2" s="741"/>
      <c r="I2" s="741"/>
      <c r="J2" s="741"/>
      <c r="K2" s="741"/>
      <c r="L2" s="741"/>
      <c r="M2" s="741"/>
    </row>
    <row r="4" spans="1:13" ht="13.5" thickBot="1">
      <c r="A4" s="220" t="s">
        <v>169</v>
      </c>
    </row>
    <row r="5" spans="1:13">
      <c r="A5" s="1525" t="s">
        <v>296</v>
      </c>
      <c r="B5" s="1526"/>
      <c r="C5" s="1526"/>
      <c r="D5" s="1526"/>
      <c r="E5" s="1526"/>
      <c r="F5" s="1527"/>
      <c r="G5" s="734"/>
      <c r="H5" s="734"/>
      <c r="I5" s="734"/>
      <c r="J5" s="1523"/>
      <c r="K5" s="1524"/>
      <c r="L5" s="1524"/>
      <c r="M5" s="1524"/>
    </row>
    <row r="6" spans="1:13">
      <c r="A6" s="209">
        <v>1</v>
      </c>
      <c r="B6" s="211"/>
      <c r="C6" s="217" t="s">
        <v>168</v>
      </c>
      <c r="D6" s="213" t="s">
        <v>145</v>
      </c>
      <c r="E6" s="210" t="s">
        <v>135</v>
      </c>
      <c r="F6" s="337" t="s">
        <v>130</v>
      </c>
      <c r="G6" s="735"/>
      <c r="H6" s="213"/>
      <c r="I6" s="213"/>
      <c r="J6" s="212"/>
      <c r="K6" s="212"/>
      <c r="L6" s="212"/>
      <c r="M6" s="212"/>
    </row>
    <row r="7" spans="1:13">
      <c r="A7" s="209">
        <f t="shared" ref="A7:A20" si="0">+A6+1</f>
        <v>2</v>
      </c>
      <c r="B7" s="208"/>
      <c r="C7" s="208" t="s">
        <v>146</v>
      </c>
      <c r="D7" s="253" t="s">
        <v>510</v>
      </c>
      <c r="E7" s="1479">
        <v>2019</v>
      </c>
      <c r="F7" s="189">
        <v>0</v>
      </c>
      <c r="G7" s="736"/>
      <c r="H7" s="210"/>
      <c r="I7" s="214"/>
      <c r="J7" s="212"/>
      <c r="K7" s="212"/>
      <c r="L7" s="212"/>
      <c r="M7" s="212"/>
    </row>
    <row r="8" spans="1:13">
      <c r="A8" s="209">
        <f t="shared" si="0"/>
        <v>3</v>
      </c>
      <c r="B8" s="211"/>
      <c r="C8" s="225" t="s">
        <v>156</v>
      </c>
      <c r="D8" s="213" t="s">
        <v>147</v>
      </c>
      <c r="E8" s="1479">
        <v>2020</v>
      </c>
      <c r="F8" s="189">
        <v>0</v>
      </c>
      <c r="G8" s="737"/>
      <c r="H8" s="213"/>
      <c r="I8" s="213"/>
      <c r="J8" s="212"/>
      <c r="K8" s="212"/>
      <c r="L8" s="212"/>
      <c r="M8" s="212"/>
    </row>
    <row r="9" spans="1:13">
      <c r="A9" s="209">
        <f t="shared" si="0"/>
        <v>4</v>
      </c>
      <c r="B9" s="323"/>
      <c r="C9" s="226" t="s">
        <v>155</v>
      </c>
      <c r="D9" s="213" t="s">
        <v>147</v>
      </c>
      <c r="E9" s="1479">
        <f>+$E$8</f>
        <v>2020</v>
      </c>
      <c r="F9" s="189">
        <v>0</v>
      </c>
      <c r="G9" s="736"/>
      <c r="H9" s="210"/>
      <c r="I9" s="210"/>
      <c r="J9" s="212"/>
      <c r="K9" s="212"/>
      <c r="L9" s="212"/>
      <c r="M9" s="212"/>
    </row>
    <row r="10" spans="1:13">
      <c r="A10" s="209">
        <f t="shared" si="0"/>
        <v>5</v>
      </c>
      <c r="B10" s="323"/>
      <c r="C10" s="226" t="s">
        <v>154</v>
      </c>
      <c r="D10" s="213" t="s">
        <v>147</v>
      </c>
      <c r="E10" s="1479">
        <f t="shared" ref="E10:E19" si="1">+$E$8</f>
        <v>2020</v>
      </c>
      <c r="F10" s="189">
        <v>0</v>
      </c>
      <c r="G10" s="736"/>
      <c r="H10" s="210"/>
      <c r="I10" s="210"/>
      <c r="J10" s="212"/>
      <c r="K10" s="212"/>
      <c r="L10" s="212"/>
      <c r="M10" s="212"/>
    </row>
    <row r="11" spans="1:13">
      <c r="A11" s="209">
        <f t="shared" si="0"/>
        <v>6</v>
      </c>
      <c r="B11" s="213"/>
      <c r="C11" s="225" t="s">
        <v>134</v>
      </c>
      <c r="D11" s="213" t="s">
        <v>147</v>
      </c>
      <c r="E11" s="1479">
        <f t="shared" si="1"/>
        <v>2020</v>
      </c>
      <c r="F11" s="189">
        <v>0</v>
      </c>
      <c r="G11" s="736"/>
      <c r="H11" s="210"/>
      <c r="I11" s="210"/>
      <c r="J11" s="212"/>
      <c r="K11" s="212"/>
      <c r="L11" s="212"/>
      <c r="M11" s="212"/>
    </row>
    <row r="12" spans="1:13">
      <c r="A12" s="209">
        <f t="shared" si="0"/>
        <v>7</v>
      </c>
      <c r="B12" s="211"/>
      <c r="C12" s="226" t="s">
        <v>131</v>
      </c>
      <c r="D12" s="213" t="s">
        <v>147</v>
      </c>
      <c r="E12" s="1479">
        <f t="shared" si="1"/>
        <v>2020</v>
      </c>
      <c r="F12" s="189">
        <v>0</v>
      </c>
      <c r="G12" s="232"/>
      <c r="H12" s="213"/>
      <c r="I12" s="213"/>
      <c r="J12" s="213"/>
      <c r="K12" s="213"/>
      <c r="L12" s="213"/>
      <c r="M12" s="213"/>
    </row>
    <row r="13" spans="1:13">
      <c r="A13" s="209">
        <f t="shared" si="0"/>
        <v>8</v>
      </c>
      <c r="B13" s="213"/>
      <c r="C13" s="226" t="s">
        <v>153</v>
      </c>
      <c r="D13" s="213" t="s">
        <v>147</v>
      </c>
      <c r="E13" s="1479">
        <f t="shared" si="1"/>
        <v>2020</v>
      </c>
      <c r="F13" s="189">
        <v>0</v>
      </c>
      <c r="G13" s="736"/>
      <c r="H13" s="210"/>
      <c r="I13" s="214"/>
      <c r="J13" s="212"/>
      <c r="K13" s="212"/>
      <c r="L13" s="212"/>
      <c r="M13" s="212"/>
    </row>
    <row r="14" spans="1:13">
      <c r="A14" s="209">
        <f t="shared" si="0"/>
        <v>9</v>
      </c>
      <c r="B14" s="211"/>
      <c r="C14" s="225" t="s">
        <v>152</v>
      </c>
      <c r="D14" s="213" t="s">
        <v>147</v>
      </c>
      <c r="E14" s="1479">
        <f t="shared" si="1"/>
        <v>2020</v>
      </c>
      <c r="F14" s="189">
        <v>0</v>
      </c>
      <c r="G14" s="737"/>
      <c r="H14" s="213"/>
      <c r="I14" s="213"/>
      <c r="J14" s="212"/>
      <c r="K14" s="212"/>
      <c r="L14" s="212"/>
      <c r="M14" s="212"/>
    </row>
    <row r="15" spans="1:13">
      <c r="A15" s="209">
        <f t="shared" si="0"/>
        <v>10</v>
      </c>
      <c r="B15" s="323"/>
      <c r="C15" s="226" t="s">
        <v>151</v>
      </c>
      <c r="D15" s="213" t="s">
        <v>147</v>
      </c>
      <c r="E15" s="1479">
        <f t="shared" si="1"/>
        <v>2020</v>
      </c>
      <c r="F15" s="189">
        <v>0</v>
      </c>
      <c r="G15" s="736"/>
      <c r="H15" s="210"/>
      <c r="I15" s="210"/>
      <c r="J15" s="212"/>
      <c r="K15" s="212"/>
      <c r="L15" s="212"/>
      <c r="M15" s="212"/>
    </row>
    <row r="16" spans="1:13">
      <c r="A16" s="209">
        <f t="shared" si="0"/>
        <v>11</v>
      </c>
      <c r="B16" s="323"/>
      <c r="C16" s="226" t="s">
        <v>150</v>
      </c>
      <c r="D16" s="213" t="s">
        <v>147</v>
      </c>
      <c r="E16" s="1479">
        <f t="shared" si="1"/>
        <v>2020</v>
      </c>
      <c r="F16" s="189">
        <v>0</v>
      </c>
      <c r="G16" s="736"/>
      <c r="H16" s="210"/>
      <c r="I16" s="210"/>
      <c r="J16" s="212"/>
      <c r="K16" s="212"/>
      <c r="L16" s="212"/>
      <c r="M16" s="212"/>
    </row>
    <row r="17" spans="1:13">
      <c r="A17" s="209">
        <f t="shared" si="0"/>
        <v>12</v>
      </c>
      <c r="B17" s="213"/>
      <c r="C17" s="225" t="s">
        <v>149</v>
      </c>
      <c r="D17" s="213" t="s">
        <v>147</v>
      </c>
      <c r="E17" s="1479">
        <f t="shared" si="1"/>
        <v>2020</v>
      </c>
      <c r="F17" s="189">
        <v>0</v>
      </c>
      <c r="G17" s="736"/>
      <c r="H17" s="210"/>
      <c r="I17" s="210"/>
      <c r="J17" s="212"/>
      <c r="K17" s="212"/>
      <c r="L17" s="212"/>
      <c r="M17" s="212"/>
    </row>
    <row r="18" spans="1:13">
      <c r="A18" s="209">
        <f t="shared" si="0"/>
        <v>13</v>
      </c>
      <c r="B18" s="213"/>
      <c r="C18" s="225" t="s">
        <v>148</v>
      </c>
      <c r="D18" s="213" t="s">
        <v>147</v>
      </c>
      <c r="E18" s="1479">
        <f t="shared" si="1"/>
        <v>2020</v>
      </c>
      <c r="F18" s="189">
        <v>0</v>
      </c>
      <c r="G18" s="736"/>
      <c r="H18" s="210"/>
      <c r="I18" s="210"/>
      <c r="J18" s="212"/>
      <c r="K18" s="212"/>
      <c r="L18" s="212"/>
      <c r="M18" s="212"/>
    </row>
    <row r="19" spans="1:13">
      <c r="A19" s="209">
        <f t="shared" si="0"/>
        <v>14</v>
      </c>
      <c r="B19" s="211"/>
      <c r="C19" s="223" t="s">
        <v>146</v>
      </c>
      <c r="D19" s="716" t="s">
        <v>511</v>
      </c>
      <c r="E19" s="1480">
        <f t="shared" si="1"/>
        <v>2020</v>
      </c>
      <c r="F19" s="190">
        <v>0</v>
      </c>
      <c r="G19" s="738"/>
      <c r="H19" s="334"/>
      <c r="I19" s="213"/>
      <c r="J19" s="213"/>
      <c r="K19" s="213"/>
      <c r="L19" s="213"/>
      <c r="M19" s="213"/>
    </row>
    <row r="20" spans="1:13">
      <c r="A20" s="209">
        <f t="shared" si="0"/>
        <v>15</v>
      </c>
      <c r="B20" s="213"/>
      <c r="C20" s="257" t="s">
        <v>187</v>
      </c>
      <c r="D20" s="213" t="str">
        <f>"(sum lines "&amp;A7&amp;"-"&amp;A19&amp;") /13"</f>
        <v>(sum lines 2-14) /13</v>
      </c>
      <c r="E20" s="255"/>
      <c r="F20" s="332">
        <f>SUM(F7:F19)/13</f>
        <v>0</v>
      </c>
      <c r="G20" s="739"/>
      <c r="H20" s="213"/>
      <c r="I20" s="213"/>
      <c r="J20" s="212"/>
      <c r="K20" s="212"/>
      <c r="L20" s="212"/>
      <c r="M20" s="212"/>
    </row>
    <row r="21" spans="1:13">
      <c r="A21" s="209"/>
      <c r="B21" s="323"/>
      <c r="C21" s="226"/>
      <c r="D21" s="213"/>
      <c r="E21" s="598"/>
      <c r="F21" s="333"/>
      <c r="G21" s="736"/>
      <c r="H21" s="210"/>
      <c r="I21" s="210"/>
      <c r="J21" s="212"/>
      <c r="K21" s="212"/>
      <c r="L21" s="212"/>
      <c r="M21" s="212"/>
    </row>
    <row r="22" spans="1:13">
      <c r="A22" s="209">
        <f>+A20+1</f>
        <v>16</v>
      </c>
      <c r="B22" s="211"/>
      <c r="C22" s="217" t="s">
        <v>167</v>
      </c>
      <c r="D22" s="213" t="s">
        <v>145</v>
      </c>
      <c r="E22" s="599"/>
      <c r="F22" s="325"/>
      <c r="G22" s="232"/>
      <c r="H22" s="213"/>
      <c r="I22" s="213"/>
      <c r="J22" s="212"/>
      <c r="K22" s="212"/>
      <c r="L22" s="212"/>
      <c r="M22" s="212"/>
    </row>
    <row r="23" spans="1:13">
      <c r="A23" s="209">
        <f>+A22+1</f>
        <v>17</v>
      </c>
      <c r="B23" s="208"/>
      <c r="C23" s="208" t="s">
        <v>146</v>
      </c>
      <c r="D23" s="253" t="s">
        <v>275</v>
      </c>
      <c r="E23" s="1479">
        <f>+$E$7</f>
        <v>2019</v>
      </c>
      <c r="F23" s="189">
        <v>0</v>
      </c>
      <c r="G23" s="736"/>
      <c r="H23" s="208"/>
      <c r="I23" s="208"/>
      <c r="J23" s="212"/>
      <c r="K23" s="212"/>
      <c r="L23" s="212"/>
      <c r="M23" s="212"/>
    </row>
    <row r="24" spans="1:13">
      <c r="A24" s="209">
        <f t="shared" ref="A24:A35" si="2">+A23+1</f>
        <v>18</v>
      </c>
      <c r="B24" s="208"/>
      <c r="C24" s="225" t="s">
        <v>156</v>
      </c>
      <c r="D24" s="213" t="s">
        <v>147</v>
      </c>
      <c r="E24" s="1479">
        <f>+$E$8</f>
        <v>2020</v>
      </c>
      <c r="F24" s="189">
        <v>0</v>
      </c>
      <c r="G24" s="736"/>
      <c r="H24" s="208"/>
      <c r="I24" s="208"/>
      <c r="J24" s="212"/>
      <c r="K24" s="212"/>
      <c r="L24" s="212"/>
      <c r="M24" s="212"/>
    </row>
    <row r="25" spans="1:13">
      <c r="A25" s="209">
        <f t="shared" si="2"/>
        <v>19</v>
      </c>
      <c r="B25" s="208"/>
      <c r="C25" s="226" t="s">
        <v>155</v>
      </c>
      <c r="D25" s="213" t="s">
        <v>147</v>
      </c>
      <c r="E25" s="1479">
        <f t="shared" ref="E25:E35" si="3">+$E$8</f>
        <v>2020</v>
      </c>
      <c r="F25" s="189">
        <v>0</v>
      </c>
      <c r="G25" s="736"/>
      <c r="H25" s="208"/>
      <c r="I25" s="208"/>
      <c r="J25" s="212"/>
      <c r="K25" s="212"/>
      <c r="L25" s="212"/>
      <c r="M25" s="212"/>
    </row>
    <row r="26" spans="1:13">
      <c r="A26" s="209">
        <f t="shared" si="2"/>
        <v>20</v>
      </c>
      <c r="B26" s="208"/>
      <c r="C26" s="226" t="s">
        <v>154</v>
      </c>
      <c r="D26" s="213" t="s">
        <v>147</v>
      </c>
      <c r="E26" s="1479">
        <f t="shared" si="3"/>
        <v>2020</v>
      </c>
      <c r="F26" s="189">
        <v>0</v>
      </c>
      <c r="G26" s="736"/>
      <c r="H26" s="208"/>
      <c r="I26" s="208"/>
      <c r="J26" s="212"/>
      <c r="K26" s="212"/>
      <c r="L26" s="212"/>
      <c r="M26" s="212"/>
    </row>
    <row r="27" spans="1:13">
      <c r="A27" s="209">
        <f t="shared" si="2"/>
        <v>21</v>
      </c>
      <c r="B27" s="208"/>
      <c r="C27" s="225" t="s">
        <v>134</v>
      </c>
      <c r="D27" s="213" t="s">
        <v>147</v>
      </c>
      <c r="E27" s="1479">
        <f t="shared" si="3"/>
        <v>2020</v>
      </c>
      <c r="F27" s="189">
        <v>0</v>
      </c>
      <c r="G27" s="736"/>
      <c r="H27" s="208"/>
      <c r="I27" s="208"/>
      <c r="J27" s="212"/>
      <c r="K27" s="212"/>
      <c r="L27" s="212"/>
      <c r="M27" s="212"/>
    </row>
    <row r="28" spans="1:13">
      <c r="A28" s="209">
        <f t="shared" si="2"/>
        <v>22</v>
      </c>
      <c r="B28" s="208"/>
      <c r="C28" s="226" t="s">
        <v>131</v>
      </c>
      <c r="D28" s="213" t="s">
        <v>147</v>
      </c>
      <c r="E28" s="1479">
        <f t="shared" si="3"/>
        <v>2020</v>
      </c>
      <c r="F28" s="189">
        <v>0</v>
      </c>
      <c r="G28" s="736"/>
      <c r="H28" s="208"/>
      <c r="I28" s="208"/>
      <c r="J28" s="212"/>
      <c r="K28" s="212"/>
      <c r="L28" s="212"/>
      <c r="M28" s="212"/>
    </row>
    <row r="29" spans="1:13">
      <c r="A29" s="209">
        <f t="shared" si="2"/>
        <v>23</v>
      </c>
      <c r="B29" s="208"/>
      <c r="C29" s="226" t="s">
        <v>153</v>
      </c>
      <c r="D29" s="213" t="s">
        <v>147</v>
      </c>
      <c r="E29" s="1479">
        <f t="shared" si="3"/>
        <v>2020</v>
      </c>
      <c r="F29" s="189">
        <v>0</v>
      </c>
      <c r="G29" s="736"/>
      <c r="H29" s="208"/>
      <c r="I29" s="208"/>
      <c r="J29" s="212"/>
      <c r="K29" s="212"/>
      <c r="L29" s="212"/>
      <c r="M29" s="212"/>
    </row>
    <row r="30" spans="1:13">
      <c r="A30" s="209">
        <f t="shared" si="2"/>
        <v>24</v>
      </c>
      <c r="B30" s="208"/>
      <c r="C30" s="225" t="s">
        <v>152</v>
      </c>
      <c r="D30" s="213" t="s">
        <v>147</v>
      </c>
      <c r="E30" s="1479">
        <f t="shared" si="3"/>
        <v>2020</v>
      </c>
      <c r="F30" s="189">
        <v>0</v>
      </c>
      <c r="G30" s="736"/>
      <c r="H30" s="208"/>
      <c r="I30" s="208"/>
      <c r="J30" s="212"/>
      <c r="K30" s="212"/>
      <c r="L30" s="212"/>
      <c r="M30" s="212"/>
    </row>
    <row r="31" spans="1:13">
      <c r="A31" s="209">
        <f t="shared" si="2"/>
        <v>25</v>
      </c>
      <c r="B31" s="208"/>
      <c r="C31" s="226" t="s">
        <v>151</v>
      </c>
      <c r="D31" s="213" t="s">
        <v>147</v>
      </c>
      <c r="E31" s="1479">
        <f t="shared" si="3"/>
        <v>2020</v>
      </c>
      <c r="F31" s="189">
        <v>0</v>
      </c>
      <c r="G31" s="736"/>
      <c r="H31" s="208"/>
      <c r="I31" s="208"/>
      <c r="J31" s="212"/>
      <c r="K31" s="212"/>
      <c r="L31" s="212"/>
      <c r="M31" s="212"/>
    </row>
    <row r="32" spans="1:13">
      <c r="A32" s="209">
        <f t="shared" si="2"/>
        <v>26</v>
      </c>
      <c r="B32" s="208"/>
      <c r="C32" s="226" t="s">
        <v>150</v>
      </c>
      <c r="D32" s="213" t="s">
        <v>147</v>
      </c>
      <c r="E32" s="1479">
        <f t="shared" si="3"/>
        <v>2020</v>
      </c>
      <c r="F32" s="189">
        <v>0</v>
      </c>
      <c r="G32" s="736"/>
      <c r="H32" s="208"/>
      <c r="I32" s="208"/>
      <c r="J32" s="212"/>
      <c r="K32" s="212"/>
      <c r="L32" s="212"/>
      <c r="M32" s="212"/>
    </row>
    <row r="33" spans="1:13">
      <c r="A33" s="209">
        <f t="shared" si="2"/>
        <v>27</v>
      </c>
      <c r="B33" s="208"/>
      <c r="C33" s="225" t="s">
        <v>161</v>
      </c>
      <c r="D33" s="213" t="s">
        <v>147</v>
      </c>
      <c r="E33" s="1479">
        <f t="shared" si="3"/>
        <v>2020</v>
      </c>
      <c r="F33" s="189">
        <v>0</v>
      </c>
      <c r="G33" s="736"/>
      <c r="H33" s="208"/>
      <c r="I33" s="208"/>
      <c r="J33" s="212"/>
      <c r="K33" s="212"/>
      <c r="L33" s="212"/>
      <c r="M33" s="212"/>
    </row>
    <row r="34" spans="1:13">
      <c r="A34" s="209">
        <f t="shared" si="2"/>
        <v>28</v>
      </c>
      <c r="B34" s="208"/>
      <c r="C34" s="225" t="s">
        <v>148</v>
      </c>
      <c r="D34" s="213" t="s">
        <v>147</v>
      </c>
      <c r="E34" s="1479">
        <f t="shared" si="3"/>
        <v>2020</v>
      </c>
      <c r="F34" s="189">
        <v>0</v>
      </c>
      <c r="G34" s="736"/>
      <c r="H34" s="208"/>
      <c r="I34" s="208"/>
      <c r="J34" s="212"/>
      <c r="K34" s="212"/>
      <c r="L34" s="212"/>
      <c r="M34" s="212"/>
    </row>
    <row r="35" spans="1:13">
      <c r="A35" s="209">
        <f t="shared" si="2"/>
        <v>29</v>
      </c>
      <c r="B35" s="211"/>
      <c r="C35" s="223" t="s">
        <v>146</v>
      </c>
      <c r="D35" s="716" t="s">
        <v>276</v>
      </c>
      <c r="E35" s="1480">
        <f t="shared" si="3"/>
        <v>2020</v>
      </c>
      <c r="F35" s="190">
        <v>0</v>
      </c>
      <c r="G35" s="738"/>
      <c r="H35" s="210"/>
      <c r="I35" s="213"/>
      <c r="J35" s="213"/>
      <c r="K35" s="213"/>
      <c r="L35" s="213"/>
      <c r="M35" s="213"/>
    </row>
    <row r="36" spans="1:13">
      <c r="A36" s="209">
        <f>+A35+1</f>
        <v>30</v>
      </c>
      <c r="B36" s="213"/>
      <c r="C36" s="257" t="s">
        <v>166</v>
      </c>
      <c r="D36" s="213" t="str">
        <f>"(sum lines "&amp;A23&amp;" - "&amp;A35&amp;") /13"</f>
        <v>(sum lines 17 - 29) /13</v>
      </c>
      <c r="E36" s="598"/>
      <c r="F36" s="332">
        <f>SUM(F23:F35)/13</f>
        <v>0</v>
      </c>
      <c r="G36" s="739"/>
      <c r="H36" s="213"/>
      <c r="I36" s="330"/>
      <c r="J36" s="212"/>
      <c r="K36" s="212"/>
      <c r="L36" s="212"/>
      <c r="M36" s="212"/>
    </row>
    <row r="37" spans="1:13">
      <c r="A37" s="209"/>
      <c r="B37" s="213"/>
      <c r="C37" s="225"/>
      <c r="D37" s="213"/>
      <c r="E37" s="600"/>
      <c r="F37" s="336"/>
      <c r="G37" s="736"/>
      <c r="H37" s="210"/>
      <c r="I37" s="210"/>
      <c r="J37" s="212"/>
      <c r="K37" s="212"/>
      <c r="L37" s="212"/>
      <c r="M37" s="212"/>
    </row>
    <row r="38" spans="1:13">
      <c r="A38" s="209">
        <f>+A36+1</f>
        <v>31</v>
      </c>
      <c r="B38" s="211"/>
      <c r="C38" s="217" t="s">
        <v>165</v>
      </c>
      <c r="D38" s="213" t="s">
        <v>145</v>
      </c>
      <c r="E38" s="599"/>
      <c r="F38" s="325"/>
      <c r="G38" s="232"/>
      <c r="H38" s="213"/>
      <c r="I38" s="213"/>
      <c r="J38" s="212"/>
      <c r="K38" s="212"/>
      <c r="L38" s="212"/>
      <c r="M38" s="212"/>
    </row>
    <row r="39" spans="1:13">
      <c r="A39" s="209">
        <f>+A38+1</f>
        <v>32</v>
      </c>
      <c r="B39" s="208"/>
      <c r="C39" s="208" t="s">
        <v>146</v>
      </c>
      <c r="D39" s="253" t="s">
        <v>512</v>
      </c>
      <c r="E39" s="1479">
        <f>+$E$7</f>
        <v>2019</v>
      </c>
      <c r="F39" s="189">
        <v>0</v>
      </c>
      <c r="G39" s="736"/>
      <c r="H39" s="210"/>
      <c r="I39" s="214"/>
      <c r="J39" s="212"/>
      <c r="K39" s="212"/>
      <c r="L39" s="212"/>
      <c r="M39" s="212"/>
    </row>
    <row r="40" spans="1:13">
      <c r="A40" s="209">
        <f t="shared" ref="A40:A50" si="4">+A39+1</f>
        <v>33</v>
      </c>
      <c r="B40" s="208"/>
      <c r="C40" s="225" t="s">
        <v>156</v>
      </c>
      <c r="D40" s="213" t="s">
        <v>147</v>
      </c>
      <c r="E40" s="1479">
        <f>+$E$8</f>
        <v>2020</v>
      </c>
      <c r="F40" s="189">
        <v>0</v>
      </c>
      <c r="G40" s="736"/>
      <c r="H40" s="210"/>
      <c r="I40" s="214"/>
      <c r="J40" s="212"/>
      <c r="K40" s="212"/>
      <c r="L40" s="212"/>
      <c r="M40" s="212"/>
    </row>
    <row r="41" spans="1:13">
      <c r="A41" s="209">
        <f t="shared" si="4"/>
        <v>34</v>
      </c>
      <c r="B41" s="208"/>
      <c r="C41" s="226" t="s">
        <v>155</v>
      </c>
      <c r="D41" s="213" t="s">
        <v>147</v>
      </c>
      <c r="E41" s="1479">
        <f t="shared" ref="E41:E51" si="5">+$E$8</f>
        <v>2020</v>
      </c>
      <c r="F41" s="189">
        <v>0</v>
      </c>
      <c r="G41" s="736"/>
      <c r="H41" s="210"/>
      <c r="I41" s="214"/>
      <c r="J41" s="212"/>
      <c r="K41" s="212"/>
      <c r="L41" s="212"/>
      <c r="M41" s="212"/>
    </row>
    <row r="42" spans="1:13">
      <c r="A42" s="209">
        <f t="shared" si="4"/>
        <v>35</v>
      </c>
      <c r="B42" s="208"/>
      <c r="C42" s="226" t="s">
        <v>154</v>
      </c>
      <c r="D42" s="213" t="s">
        <v>147</v>
      </c>
      <c r="E42" s="1479">
        <f t="shared" si="5"/>
        <v>2020</v>
      </c>
      <c r="F42" s="189">
        <v>0</v>
      </c>
      <c r="G42" s="736"/>
      <c r="H42" s="210"/>
      <c r="I42" s="214"/>
      <c r="J42" s="212"/>
      <c r="K42" s="212"/>
      <c r="L42" s="212"/>
      <c r="M42" s="212"/>
    </row>
    <row r="43" spans="1:13">
      <c r="A43" s="209">
        <f t="shared" si="4"/>
        <v>36</v>
      </c>
      <c r="B43" s="208"/>
      <c r="C43" s="225" t="s">
        <v>134</v>
      </c>
      <c r="D43" s="213" t="s">
        <v>147</v>
      </c>
      <c r="E43" s="1479">
        <f t="shared" si="5"/>
        <v>2020</v>
      </c>
      <c r="F43" s="189">
        <v>0</v>
      </c>
      <c r="G43" s="736"/>
      <c r="H43" s="210"/>
      <c r="I43" s="214"/>
      <c r="J43" s="212"/>
      <c r="K43" s="212"/>
      <c r="L43" s="212"/>
      <c r="M43" s="212"/>
    </row>
    <row r="44" spans="1:13">
      <c r="A44" s="209">
        <f t="shared" si="4"/>
        <v>37</v>
      </c>
      <c r="B44" s="208"/>
      <c r="C44" s="226" t="s">
        <v>131</v>
      </c>
      <c r="D44" s="213" t="s">
        <v>147</v>
      </c>
      <c r="E44" s="1479">
        <f t="shared" si="5"/>
        <v>2020</v>
      </c>
      <c r="F44" s="189">
        <v>0</v>
      </c>
      <c r="G44" s="736"/>
      <c r="H44" s="210"/>
      <c r="I44" s="214"/>
      <c r="J44" s="212"/>
      <c r="K44" s="212"/>
      <c r="L44" s="212"/>
      <c r="M44" s="212"/>
    </row>
    <row r="45" spans="1:13">
      <c r="A45" s="209">
        <f t="shared" si="4"/>
        <v>38</v>
      </c>
      <c r="B45" s="208"/>
      <c r="C45" s="226" t="s">
        <v>153</v>
      </c>
      <c r="D45" s="213" t="s">
        <v>147</v>
      </c>
      <c r="E45" s="1479">
        <f t="shared" si="5"/>
        <v>2020</v>
      </c>
      <c r="F45" s="189">
        <v>0</v>
      </c>
      <c r="G45" s="736"/>
      <c r="H45" s="210"/>
      <c r="I45" s="214"/>
      <c r="J45" s="212"/>
      <c r="K45" s="212"/>
      <c r="L45" s="212"/>
      <c r="M45" s="212"/>
    </row>
    <row r="46" spans="1:13">
      <c r="A46" s="209">
        <f t="shared" si="4"/>
        <v>39</v>
      </c>
      <c r="B46" s="208"/>
      <c r="C46" s="225" t="s">
        <v>152</v>
      </c>
      <c r="D46" s="213" t="s">
        <v>147</v>
      </c>
      <c r="E46" s="1479">
        <f t="shared" si="5"/>
        <v>2020</v>
      </c>
      <c r="F46" s="189">
        <v>0</v>
      </c>
      <c r="G46" s="736"/>
      <c r="H46" s="210"/>
      <c r="I46" s="214"/>
      <c r="J46" s="212"/>
      <c r="K46" s="212"/>
      <c r="L46" s="212"/>
      <c r="M46" s="212"/>
    </row>
    <row r="47" spans="1:13">
      <c r="A47" s="209">
        <f t="shared" si="4"/>
        <v>40</v>
      </c>
      <c r="B47" s="208"/>
      <c r="C47" s="226" t="s">
        <v>151</v>
      </c>
      <c r="D47" s="213" t="s">
        <v>147</v>
      </c>
      <c r="E47" s="1479">
        <f t="shared" si="5"/>
        <v>2020</v>
      </c>
      <c r="F47" s="189">
        <v>0</v>
      </c>
      <c r="G47" s="736"/>
      <c r="H47" s="210"/>
      <c r="I47" s="214"/>
      <c r="J47" s="212"/>
      <c r="K47" s="212"/>
      <c r="L47" s="212"/>
      <c r="M47" s="212"/>
    </row>
    <row r="48" spans="1:13">
      <c r="A48" s="209">
        <f t="shared" si="4"/>
        <v>41</v>
      </c>
      <c r="B48" s="208"/>
      <c r="C48" s="226" t="s">
        <v>150</v>
      </c>
      <c r="D48" s="213" t="s">
        <v>147</v>
      </c>
      <c r="E48" s="1479">
        <f t="shared" si="5"/>
        <v>2020</v>
      </c>
      <c r="F48" s="189">
        <v>0</v>
      </c>
      <c r="G48" s="736"/>
      <c r="H48" s="210"/>
      <c r="I48" s="214"/>
      <c r="J48" s="212"/>
      <c r="K48" s="212"/>
      <c r="L48" s="212"/>
      <c r="M48" s="212"/>
    </row>
    <row r="49" spans="1:14">
      <c r="A49" s="209">
        <f t="shared" si="4"/>
        <v>42</v>
      </c>
      <c r="B49" s="208"/>
      <c r="C49" s="225" t="s">
        <v>161</v>
      </c>
      <c r="D49" s="213" t="s">
        <v>147</v>
      </c>
      <c r="E49" s="1479">
        <f t="shared" si="5"/>
        <v>2020</v>
      </c>
      <c r="F49" s="189">
        <v>0</v>
      </c>
      <c r="G49" s="736"/>
      <c r="H49" s="210"/>
      <c r="I49" s="214"/>
      <c r="J49" s="212"/>
      <c r="K49" s="212"/>
      <c r="L49" s="212"/>
      <c r="M49" s="212"/>
    </row>
    <row r="50" spans="1:14">
      <c r="A50" s="209">
        <f t="shared" si="4"/>
        <v>43</v>
      </c>
      <c r="B50" s="208"/>
      <c r="C50" s="225" t="s">
        <v>148</v>
      </c>
      <c r="D50" s="213" t="s">
        <v>147</v>
      </c>
      <c r="E50" s="1479">
        <f t="shared" si="5"/>
        <v>2020</v>
      </c>
      <c r="F50" s="189">
        <v>0</v>
      </c>
      <c r="G50" s="736"/>
      <c r="H50" s="210"/>
      <c r="I50" s="214"/>
      <c r="J50" s="212"/>
      <c r="K50" s="212"/>
      <c r="L50" s="212"/>
      <c r="M50" s="212"/>
    </row>
    <row r="51" spans="1:14">
      <c r="A51" s="209">
        <f>+A50+1</f>
        <v>44</v>
      </c>
      <c r="B51" s="211"/>
      <c r="C51" s="223" t="s">
        <v>146</v>
      </c>
      <c r="D51" s="716" t="s">
        <v>513</v>
      </c>
      <c r="E51" s="1480">
        <f t="shared" si="5"/>
        <v>2020</v>
      </c>
      <c r="F51" s="190">
        <v>0</v>
      </c>
      <c r="G51" s="738"/>
      <c r="H51" s="334"/>
      <c r="I51" s="213"/>
      <c r="J51" s="213"/>
      <c r="K51" s="213"/>
      <c r="L51" s="213"/>
      <c r="M51" s="213"/>
    </row>
    <row r="52" spans="1:14">
      <c r="A52" s="209">
        <f>+A51+1</f>
        <v>45</v>
      </c>
      <c r="B52" s="213"/>
      <c r="C52" s="257" t="s">
        <v>164</v>
      </c>
      <c r="D52" s="213" t="str">
        <f>"(sum lines "&amp;A39&amp;" - "&amp;A51&amp;") /13"</f>
        <v>(sum lines 32 - 44) /13</v>
      </c>
      <c r="E52" s="598"/>
      <c r="F52" s="332">
        <f>SUM(F39:F51)/13</f>
        <v>0</v>
      </c>
      <c r="G52" s="739"/>
      <c r="H52" s="213"/>
      <c r="I52" s="330"/>
      <c r="J52" s="212"/>
      <c r="K52" s="212"/>
      <c r="L52" s="212"/>
      <c r="M52" s="212"/>
    </row>
    <row r="53" spans="1:14">
      <c r="A53" s="209"/>
      <c r="B53" s="213"/>
      <c r="C53" s="226"/>
      <c r="D53" s="213"/>
      <c r="E53" s="269"/>
      <c r="F53" s="333"/>
      <c r="G53" s="736"/>
      <c r="H53" s="210"/>
      <c r="I53" s="214"/>
      <c r="J53" s="212"/>
      <c r="K53" s="212"/>
      <c r="L53" s="212"/>
      <c r="M53" s="212"/>
    </row>
    <row r="54" spans="1:14">
      <c r="A54" s="209">
        <f>+A52+1</f>
        <v>46</v>
      </c>
      <c r="B54" s="211"/>
      <c r="C54" s="328" t="s">
        <v>188</v>
      </c>
      <c r="D54" s="253" t="str">
        <f>"(sum lines "&amp;A20&amp;", "&amp;A36&amp;", and "&amp;A52&amp;")"</f>
        <v>(sum lines 15, 30, and 45)</v>
      </c>
      <c r="E54" s="291"/>
      <c r="F54" s="331">
        <f>F20+F36+F52</f>
        <v>0</v>
      </c>
      <c r="G54" s="215"/>
      <c r="H54" s="330"/>
      <c r="I54" s="330"/>
      <c r="J54" s="213"/>
      <c r="K54" s="213"/>
      <c r="L54" s="213"/>
      <c r="M54" s="213"/>
    </row>
    <row r="55" spans="1:14" ht="13.5" thickBot="1">
      <c r="A55" s="244"/>
      <c r="B55" s="283"/>
      <c r="C55" s="289"/>
      <c r="D55" s="324"/>
      <c r="E55" s="290"/>
      <c r="F55" s="292"/>
      <c r="G55" s="215"/>
      <c r="H55" s="210"/>
      <c r="I55" s="210"/>
      <c r="J55" s="212"/>
      <c r="K55" s="212"/>
      <c r="L55" s="212"/>
      <c r="M55" s="212"/>
    </row>
    <row r="56" spans="1:14">
      <c r="A56" s="235"/>
      <c r="B56" s="323"/>
      <c r="C56" s="226"/>
      <c r="D56" s="213"/>
      <c r="E56" s="269"/>
      <c r="F56" s="333"/>
      <c r="G56" s="329"/>
      <c r="H56" s="210"/>
      <c r="I56" s="210"/>
      <c r="J56" s="212"/>
      <c r="K56" s="212"/>
      <c r="L56" s="212"/>
      <c r="M56" s="212"/>
      <c r="N56" s="208"/>
    </row>
    <row r="57" spans="1:14" ht="13.5" thickBot="1">
      <c r="A57" s="740" t="s">
        <v>163</v>
      </c>
      <c r="B57" s="208"/>
      <c r="C57" s="208"/>
      <c r="D57" s="208"/>
      <c r="E57" s="208"/>
      <c r="F57" s="207"/>
      <c r="G57" s="208"/>
      <c r="H57" s="208"/>
      <c r="I57" s="208"/>
      <c r="J57" s="208"/>
      <c r="K57" s="208"/>
      <c r="L57" s="208"/>
      <c r="M57" s="208"/>
    </row>
    <row r="58" spans="1:14">
      <c r="A58" s="1525" t="s">
        <v>296</v>
      </c>
      <c r="B58" s="1526"/>
      <c r="C58" s="1526"/>
      <c r="D58" s="1526"/>
      <c r="E58" s="1526"/>
      <c r="F58" s="1527"/>
      <c r="G58" s="734"/>
      <c r="H58" s="734"/>
      <c r="I58" s="734"/>
      <c r="J58" s="1523"/>
      <c r="K58" s="1524"/>
      <c r="L58" s="1524"/>
      <c r="M58" s="1524"/>
    </row>
    <row r="59" spans="1:14">
      <c r="A59" s="209">
        <f>+A54+1</f>
        <v>47</v>
      </c>
      <c r="B59" s="211"/>
      <c r="C59" s="217" t="s">
        <v>162</v>
      </c>
      <c r="D59" s="213" t="s">
        <v>145</v>
      </c>
      <c r="E59" s="210" t="s">
        <v>135</v>
      </c>
      <c r="F59" s="337" t="s">
        <v>130</v>
      </c>
      <c r="G59" s="735"/>
      <c r="H59" s="213"/>
      <c r="I59" s="213"/>
      <c r="J59" s="212"/>
      <c r="K59" s="212"/>
      <c r="L59" s="212"/>
      <c r="M59" s="212"/>
    </row>
    <row r="60" spans="1:14" ht="15">
      <c r="A60" s="209">
        <f t="shared" ref="A60:A73" si="6">+A59+1</f>
        <v>48</v>
      </c>
      <c r="B60" s="208"/>
      <c r="C60" s="208" t="s">
        <v>146</v>
      </c>
      <c r="D60" s="172" t="s">
        <v>449</v>
      </c>
      <c r="E60" s="1479">
        <f>+$E$7</f>
        <v>2019</v>
      </c>
      <c r="F60" s="189">
        <v>0</v>
      </c>
      <c r="G60" s="736"/>
      <c r="H60" s="210"/>
      <c r="I60" s="214"/>
      <c r="J60" s="212"/>
      <c r="K60" s="212"/>
      <c r="L60" s="212"/>
      <c r="M60" s="212"/>
    </row>
    <row r="61" spans="1:14">
      <c r="A61" s="209">
        <f t="shared" si="6"/>
        <v>49</v>
      </c>
      <c r="B61" s="211"/>
      <c r="C61" s="225" t="s">
        <v>156</v>
      </c>
      <c r="D61" s="213" t="s">
        <v>147</v>
      </c>
      <c r="E61" s="1479">
        <f>+$E$8</f>
        <v>2020</v>
      </c>
      <c r="F61" s="189">
        <v>0</v>
      </c>
      <c r="G61" s="737"/>
      <c r="H61" s="213"/>
      <c r="I61" s="213"/>
      <c r="J61" s="212"/>
      <c r="K61" s="212"/>
      <c r="L61" s="212"/>
      <c r="M61" s="212"/>
    </row>
    <row r="62" spans="1:14">
      <c r="A62" s="209">
        <f t="shared" si="6"/>
        <v>50</v>
      </c>
      <c r="B62" s="323"/>
      <c r="C62" s="226" t="s">
        <v>155</v>
      </c>
      <c r="D62" s="213" t="s">
        <v>147</v>
      </c>
      <c r="E62" s="1479">
        <f t="shared" ref="E62:E72" si="7">+$E$8</f>
        <v>2020</v>
      </c>
      <c r="F62" s="189">
        <v>0</v>
      </c>
      <c r="G62" s="736"/>
      <c r="H62" s="210"/>
      <c r="I62" s="210"/>
      <c r="J62" s="212"/>
      <c r="K62" s="212"/>
      <c r="L62" s="212"/>
      <c r="M62" s="212"/>
    </row>
    <row r="63" spans="1:14">
      <c r="A63" s="209">
        <f t="shared" si="6"/>
        <v>51</v>
      </c>
      <c r="B63" s="323"/>
      <c r="C63" s="226" t="s">
        <v>154</v>
      </c>
      <c r="D63" s="213" t="s">
        <v>147</v>
      </c>
      <c r="E63" s="1479">
        <f t="shared" si="7"/>
        <v>2020</v>
      </c>
      <c r="F63" s="189">
        <v>0</v>
      </c>
      <c r="G63" s="736"/>
      <c r="H63" s="210"/>
      <c r="I63" s="210"/>
      <c r="J63" s="212"/>
      <c r="K63" s="212"/>
      <c r="L63" s="212"/>
      <c r="M63" s="212"/>
    </row>
    <row r="64" spans="1:14">
      <c r="A64" s="209">
        <f t="shared" si="6"/>
        <v>52</v>
      </c>
      <c r="B64" s="213"/>
      <c r="C64" s="225" t="s">
        <v>134</v>
      </c>
      <c r="D64" s="213" t="s">
        <v>147</v>
      </c>
      <c r="E64" s="1479">
        <f t="shared" si="7"/>
        <v>2020</v>
      </c>
      <c r="F64" s="189">
        <v>0</v>
      </c>
      <c r="G64" s="736"/>
      <c r="H64" s="210"/>
      <c r="I64" s="210"/>
      <c r="J64" s="212"/>
      <c r="K64" s="212"/>
      <c r="L64" s="212"/>
      <c r="M64" s="212"/>
    </row>
    <row r="65" spans="1:13">
      <c r="A65" s="209">
        <f t="shared" si="6"/>
        <v>53</v>
      </c>
      <c r="B65" s="211"/>
      <c r="C65" s="226" t="s">
        <v>131</v>
      </c>
      <c r="D65" s="213" t="s">
        <v>147</v>
      </c>
      <c r="E65" s="1479">
        <f t="shared" si="7"/>
        <v>2020</v>
      </c>
      <c r="F65" s="189">
        <v>0</v>
      </c>
      <c r="G65" s="232"/>
      <c r="H65" s="213"/>
      <c r="I65" s="213"/>
      <c r="J65" s="213"/>
      <c r="K65" s="213"/>
      <c r="L65" s="213"/>
      <c r="M65" s="213"/>
    </row>
    <row r="66" spans="1:13">
      <c r="A66" s="209">
        <f t="shared" si="6"/>
        <v>54</v>
      </c>
      <c r="B66" s="213"/>
      <c r="C66" s="226" t="s">
        <v>153</v>
      </c>
      <c r="D66" s="213" t="s">
        <v>147</v>
      </c>
      <c r="E66" s="1479">
        <f t="shared" si="7"/>
        <v>2020</v>
      </c>
      <c r="F66" s="189">
        <v>0</v>
      </c>
      <c r="G66" s="736"/>
      <c r="H66" s="210"/>
      <c r="I66" s="214"/>
      <c r="J66" s="212"/>
      <c r="K66" s="212"/>
      <c r="L66" s="212"/>
      <c r="M66" s="212"/>
    </row>
    <row r="67" spans="1:13">
      <c r="A67" s="209">
        <f t="shared" si="6"/>
        <v>55</v>
      </c>
      <c r="B67" s="211"/>
      <c r="C67" s="225" t="s">
        <v>152</v>
      </c>
      <c r="D67" s="213" t="s">
        <v>147</v>
      </c>
      <c r="E67" s="1479">
        <f t="shared" si="7"/>
        <v>2020</v>
      </c>
      <c r="F67" s="189">
        <v>0</v>
      </c>
      <c r="G67" s="737"/>
      <c r="H67" s="213"/>
      <c r="I67" s="213"/>
      <c r="J67" s="212"/>
      <c r="K67" s="212"/>
      <c r="L67" s="212"/>
      <c r="M67" s="212"/>
    </row>
    <row r="68" spans="1:13">
      <c r="A68" s="209">
        <f t="shared" si="6"/>
        <v>56</v>
      </c>
      <c r="B68" s="323"/>
      <c r="C68" s="226" t="s">
        <v>151</v>
      </c>
      <c r="D68" s="213" t="s">
        <v>147</v>
      </c>
      <c r="E68" s="1479">
        <f t="shared" si="7"/>
        <v>2020</v>
      </c>
      <c r="F68" s="189">
        <v>0</v>
      </c>
      <c r="G68" s="736"/>
      <c r="H68" s="210"/>
      <c r="I68" s="210"/>
      <c r="J68" s="212"/>
      <c r="K68" s="212"/>
      <c r="L68" s="212"/>
      <c r="M68" s="212"/>
    </row>
    <row r="69" spans="1:13">
      <c r="A69" s="209">
        <f t="shared" si="6"/>
        <v>57</v>
      </c>
      <c r="B69" s="323"/>
      <c r="C69" s="226" t="s">
        <v>150</v>
      </c>
      <c r="D69" s="213" t="s">
        <v>147</v>
      </c>
      <c r="E69" s="1479">
        <f t="shared" si="7"/>
        <v>2020</v>
      </c>
      <c r="F69" s="189">
        <v>0</v>
      </c>
      <c r="G69" s="736"/>
      <c r="H69" s="210"/>
      <c r="I69" s="210"/>
      <c r="J69" s="212"/>
      <c r="K69" s="212"/>
      <c r="L69" s="212"/>
      <c r="M69" s="212"/>
    </row>
    <row r="70" spans="1:13">
      <c r="A70" s="209">
        <f t="shared" si="6"/>
        <v>58</v>
      </c>
      <c r="B70" s="213"/>
      <c r="C70" s="225" t="s">
        <v>161</v>
      </c>
      <c r="D70" s="213" t="s">
        <v>147</v>
      </c>
      <c r="E70" s="1479">
        <f t="shared" si="7"/>
        <v>2020</v>
      </c>
      <c r="F70" s="189">
        <v>0</v>
      </c>
      <c r="G70" s="736"/>
      <c r="H70" s="210"/>
      <c r="I70" s="210"/>
      <c r="J70" s="212"/>
      <c r="K70" s="212"/>
      <c r="L70" s="212"/>
      <c r="M70" s="212"/>
    </row>
    <row r="71" spans="1:13">
      <c r="A71" s="209">
        <f t="shared" si="6"/>
        <v>59</v>
      </c>
      <c r="B71" s="213"/>
      <c r="C71" s="225" t="s">
        <v>148</v>
      </c>
      <c r="D71" s="213" t="s">
        <v>147</v>
      </c>
      <c r="E71" s="1479">
        <f t="shared" si="7"/>
        <v>2020</v>
      </c>
      <c r="F71" s="189">
        <v>0</v>
      </c>
      <c r="G71" s="232"/>
      <c r="H71" s="210"/>
      <c r="I71" s="210"/>
      <c r="J71" s="212"/>
      <c r="K71" s="212"/>
      <c r="L71" s="212"/>
      <c r="M71" s="212"/>
    </row>
    <row r="72" spans="1:13" ht="15">
      <c r="A72" s="209">
        <f t="shared" si="6"/>
        <v>60</v>
      </c>
      <c r="B72" s="211"/>
      <c r="C72" s="223" t="s">
        <v>146</v>
      </c>
      <c r="D72" s="173" t="s">
        <v>450</v>
      </c>
      <c r="E72" s="1480">
        <f t="shared" si="7"/>
        <v>2020</v>
      </c>
      <c r="F72" s="190">
        <v>0</v>
      </c>
      <c r="G72" s="739"/>
      <c r="H72" s="213"/>
      <c r="I72" s="213"/>
      <c r="J72" s="213"/>
      <c r="K72" s="213"/>
      <c r="L72" s="213"/>
      <c r="M72" s="213"/>
    </row>
    <row r="73" spans="1:13">
      <c r="A73" s="209">
        <f t="shared" si="6"/>
        <v>61</v>
      </c>
      <c r="B73" s="213"/>
      <c r="C73" s="257" t="s">
        <v>160</v>
      </c>
      <c r="D73" s="213" t="str">
        <f>"(sum lines "&amp;A60&amp;"-"&amp;A72&amp;") /13"</f>
        <v>(sum lines 48-60) /13</v>
      </c>
      <c r="E73" s="598"/>
      <c r="F73" s="332">
        <f>SUM(F60:F72)/13</f>
        <v>0</v>
      </c>
      <c r="G73" s="673"/>
      <c r="H73" s="213"/>
      <c r="I73" s="213"/>
      <c r="J73" s="212"/>
      <c r="K73" s="212"/>
      <c r="L73" s="212"/>
      <c r="M73" s="212"/>
    </row>
    <row r="74" spans="1:13">
      <c r="A74" s="209"/>
      <c r="B74" s="323"/>
      <c r="C74" s="226"/>
      <c r="D74" s="213"/>
      <c r="E74" s="598"/>
      <c r="F74" s="333"/>
      <c r="G74" s="736"/>
      <c r="H74" s="210"/>
      <c r="I74" s="210"/>
      <c r="J74" s="212"/>
      <c r="K74" s="212"/>
      <c r="L74" s="212"/>
      <c r="M74" s="212"/>
    </row>
    <row r="75" spans="1:13">
      <c r="A75" s="209">
        <f>+A73+1</f>
        <v>62</v>
      </c>
      <c r="B75" s="211"/>
      <c r="C75" s="217" t="s">
        <v>159</v>
      </c>
      <c r="D75" s="213" t="s">
        <v>145</v>
      </c>
      <c r="E75" s="599"/>
      <c r="F75" s="325"/>
      <c r="G75" s="232"/>
      <c r="H75" s="213"/>
      <c r="I75" s="213"/>
      <c r="J75" s="212"/>
      <c r="K75" s="212"/>
      <c r="L75" s="212"/>
      <c r="M75" s="212"/>
    </row>
    <row r="76" spans="1:13" ht="15">
      <c r="A76" s="209">
        <f>+A75+1</f>
        <v>63</v>
      </c>
      <c r="B76" s="208"/>
      <c r="C76" s="208" t="s">
        <v>146</v>
      </c>
      <c r="D76" s="172" t="s">
        <v>158</v>
      </c>
      <c r="E76" s="1479">
        <f>+$E$7</f>
        <v>2019</v>
      </c>
      <c r="F76" s="189">
        <v>0</v>
      </c>
      <c r="G76" s="736"/>
      <c r="H76" s="210"/>
      <c r="I76" s="214"/>
      <c r="J76" s="212"/>
      <c r="K76" s="212"/>
      <c r="L76" s="212"/>
      <c r="M76" s="212"/>
    </row>
    <row r="77" spans="1:13">
      <c r="A77" s="209">
        <f t="shared" ref="A77:A88" si="8">+A76+1</f>
        <v>64</v>
      </c>
      <c r="B77" s="208"/>
      <c r="C77" s="225" t="s">
        <v>156</v>
      </c>
      <c r="D77" s="213" t="s">
        <v>147</v>
      </c>
      <c r="E77" s="1479">
        <f>+$E$8</f>
        <v>2020</v>
      </c>
      <c r="F77" s="189">
        <v>0</v>
      </c>
      <c r="G77" s="736"/>
      <c r="H77" s="210"/>
      <c r="I77" s="214"/>
      <c r="J77" s="212"/>
      <c r="K77" s="212"/>
      <c r="L77" s="212"/>
      <c r="M77" s="212"/>
    </row>
    <row r="78" spans="1:13">
      <c r="A78" s="209">
        <f t="shared" si="8"/>
        <v>65</v>
      </c>
      <c r="B78" s="208"/>
      <c r="C78" s="226" t="s">
        <v>155</v>
      </c>
      <c r="D78" s="213" t="s">
        <v>147</v>
      </c>
      <c r="E78" s="1479">
        <f t="shared" ref="E78:E88" si="9">+$E$8</f>
        <v>2020</v>
      </c>
      <c r="F78" s="189">
        <v>0</v>
      </c>
      <c r="G78" s="736"/>
      <c r="H78" s="210"/>
      <c r="I78" s="214"/>
      <c r="J78" s="212"/>
      <c r="K78" s="212"/>
      <c r="L78" s="212"/>
      <c r="M78" s="212"/>
    </row>
    <row r="79" spans="1:13">
      <c r="A79" s="209">
        <f t="shared" si="8"/>
        <v>66</v>
      </c>
      <c r="B79" s="208"/>
      <c r="C79" s="226" t="s">
        <v>154</v>
      </c>
      <c r="D79" s="213" t="s">
        <v>147</v>
      </c>
      <c r="E79" s="1479">
        <f t="shared" si="9"/>
        <v>2020</v>
      </c>
      <c r="F79" s="189">
        <v>0</v>
      </c>
      <c r="G79" s="736"/>
      <c r="H79" s="210"/>
      <c r="I79" s="214"/>
      <c r="J79" s="212"/>
      <c r="K79" s="212"/>
      <c r="L79" s="212"/>
      <c r="M79" s="212"/>
    </row>
    <row r="80" spans="1:13">
      <c r="A80" s="209">
        <f t="shared" si="8"/>
        <v>67</v>
      </c>
      <c r="B80" s="208"/>
      <c r="C80" s="225" t="s">
        <v>134</v>
      </c>
      <c r="D80" s="213" t="s">
        <v>147</v>
      </c>
      <c r="E80" s="1479">
        <f t="shared" si="9"/>
        <v>2020</v>
      </c>
      <c r="F80" s="189">
        <v>0</v>
      </c>
      <c r="G80" s="736"/>
      <c r="H80" s="210"/>
      <c r="I80" s="214"/>
      <c r="J80" s="212"/>
      <c r="K80" s="212"/>
      <c r="L80" s="212"/>
      <c r="M80" s="212"/>
    </row>
    <row r="81" spans="1:13">
      <c r="A81" s="209">
        <f t="shared" si="8"/>
        <v>68</v>
      </c>
      <c r="B81" s="208"/>
      <c r="C81" s="226" t="s">
        <v>131</v>
      </c>
      <c r="D81" s="213" t="s">
        <v>147</v>
      </c>
      <c r="E81" s="1479">
        <f t="shared" si="9"/>
        <v>2020</v>
      </c>
      <c r="F81" s="189">
        <v>0</v>
      </c>
      <c r="G81" s="736"/>
      <c r="H81" s="210"/>
      <c r="I81" s="214"/>
      <c r="J81" s="212"/>
      <c r="K81" s="212"/>
      <c r="L81" s="212"/>
      <c r="M81" s="212"/>
    </row>
    <row r="82" spans="1:13">
      <c r="A82" s="209">
        <f t="shared" si="8"/>
        <v>69</v>
      </c>
      <c r="B82" s="208"/>
      <c r="C82" s="226" t="s">
        <v>153</v>
      </c>
      <c r="D82" s="213" t="s">
        <v>147</v>
      </c>
      <c r="E82" s="1479">
        <f t="shared" si="9"/>
        <v>2020</v>
      </c>
      <c r="F82" s="189">
        <v>0</v>
      </c>
      <c r="G82" s="736"/>
      <c r="H82" s="210"/>
      <c r="I82" s="214"/>
      <c r="J82" s="212"/>
      <c r="K82" s="212"/>
      <c r="L82" s="212"/>
      <c r="M82" s="212"/>
    </row>
    <row r="83" spans="1:13">
      <c r="A83" s="209">
        <f t="shared" si="8"/>
        <v>70</v>
      </c>
      <c r="B83" s="208"/>
      <c r="C83" s="225" t="s">
        <v>152</v>
      </c>
      <c r="D83" s="213" t="s">
        <v>147</v>
      </c>
      <c r="E83" s="1479">
        <f t="shared" si="9"/>
        <v>2020</v>
      </c>
      <c r="F83" s="189">
        <v>0</v>
      </c>
      <c r="G83" s="736"/>
      <c r="H83" s="210"/>
      <c r="I83" s="214"/>
      <c r="J83" s="212"/>
      <c r="K83" s="212"/>
      <c r="L83" s="212"/>
      <c r="M83" s="212"/>
    </row>
    <row r="84" spans="1:13">
      <c r="A84" s="209">
        <f t="shared" si="8"/>
        <v>71</v>
      </c>
      <c r="B84" s="208"/>
      <c r="C84" s="226" t="s">
        <v>151</v>
      </c>
      <c r="D84" s="213" t="s">
        <v>147</v>
      </c>
      <c r="E84" s="1479">
        <f t="shared" si="9"/>
        <v>2020</v>
      </c>
      <c r="F84" s="189">
        <v>0</v>
      </c>
      <c r="G84" s="736"/>
      <c r="H84" s="210"/>
      <c r="I84" s="214"/>
      <c r="J84" s="212"/>
      <c r="K84" s="212"/>
      <c r="L84" s="212"/>
      <c r="M84" s="212"/>
    </row>
    <row r="85" spans="1:13">
      <c r="A85" s="209">
        <f t="shared" si="8"/>
        <v>72</v>
      </c>
      <c r="B85" s="208"/>
      <c r="C85" s="226" t="s">
        <v>150</v>
      </c>
      <c r="D85" s="213" t="s">
        <v>147</v>
      </c>
      <c r="E85" s="1479">
        <f t="shared" si="9"/>
        <v>2020</v>
      </c>
      <c r="F85" s="189">
        <v>0</v>
      </c>
      <c r="G85" s="736"/>
      <c r="H85" s="210"/>
      <c r="I85" s="214"/>
      <c r="J85" s="212"/>
      <c r="K85" s="212"/>
      <c r="L85" s="212"/>
      <c r="M85" s="212"/>
    </row>
    <row r="86" spans="1:13">
      <c r="A86" s="209">
        <f t="shared" si="8"/>
        <v>73</v>
      </c>
      <c r="B86" s="208"/>
      <c r="C86" s="225" t="s">
        <v>149</v>
      </c>
      <c r="D86" s="213" t="s">
        <v>147</v>
      </c>
      <c r="E86" s="1479">
        <f t="shared" si="9"/>
        <v>2020</v>
      </c>
      <c r="F86" s="189">
        <v>0</v>
      </c>
      <c r="G86" s="736"/>
      <c r="H86" s="210"/>
      <c r="I86" s="214"/>
      <c r="J86" s="212"/>
      <c r="K86" s="212"/>
      <c r="L86" s="212"/>
      <c r="M86" s="212"/>
    </row>
    <row r="87" spans="1:13">
      <c r="A87" s="209">
        <f t="shared" si="8"/>
        <v>74</v>
      </c>
      <c r="B87" s="208"/>
      <c r="C87" s="225" t="s">
        <v>148</v>
      </c>
      <c r="D87" s="213" t="s">
        <v>147</v>
      </c>
      <c r="E87" s="1479">
        <f t="shared" si="9"/>
        <v>2020</v>
      </c>
      <c r="F87" s="189">
        <v>0</v>
      </c>
      <c r="G87" s="736"/>
      <c r="H87" s="210"/>
      <c r="I87" s="214"/>
      <c r="J87" s="212"/>
      <c r="K87" s="212"/>
      <c r="L87" s="212"/>
      <c r="M87" s="212"/>
    </row>
    <row r="88" spans="1:13" ht="15">
      <c r="A88" s="209">
        <f t="shared" si="8"/>
        <v>75</v>
      </c>
      <c r="B88" s="211"/>
      <c r="C88" s="223" t="s">
        <v>146</v>
      </c>
      <c r="D88" s="173" t="s">
        <v>451</v>
      </c>
      <c r="E88" s="1480">
        <f t="shared" si="9"/>
        <v>2020</v>
      </c>
      <c r="F88" s="190">
        <v>0</v>
      </c>
      <c r="G88" s="739"/>
      <c r="H88" s="213"/>
      <c r="I88" s="213"/>
      <c r="J88" s="213"/>
      <c r="K88" s="213"/>
      <c r="L88" s="213"/>
      <c r="M88" s="213"/>
    </row>
    <row r="89" spans="1:13">
      <c r="A89" s="209">
        <f>+A88+1</f>
        <v>76</v>
      </c>
      <c r="B89" s="213"/>
      <c r="C89" s="257" t="s">
        <v>189</v>
      </c>
      <c r="D89" s="213" t="str">
        <f>"(sum lines "&amp;A76&amp;" - "&amp;A88&amp;") /13"</f>
        <v>(sum lines 63 - 75) /13</v>
      </c>
      <c r="E89" s="598"/>
      <c r="F89" s="332">
        <f>SUM(F76:F88)/13</f>
        <v>0</v>
      </c>
      <c r="G89" s="673"/>
      <c r="H89" s="213"/>
      <c r="I89" s="213"/>
      <c r="J89" s="212"/>
      <c r="K89" s="212"/>
      <c r="L89" s="212"/>
      <c r="M89" s="212"/>
    </row>
    <row r="90" spans="1:13">
      <c r="A90" s="209"/>
      <c r="B90" s="213"/>
      <c r="C90" s="225"/>
      <c r="D90" s="213"/>
      <c r="E90" s="600"/>
      <c r="F90" s="336"/>
      <c r="G90" s="736"/>
      <c r="H90" s="210"/>
      <c r="I90" s="210"/>
      <c r="J90" s="212"/>
      <c r="K90" s="212"/>
      <c r="L90" s="212"/>
      <c r="M90" s="212"/>
    </row>
    <row r="91" spans="1:13">
      <c r="A91" s="209">
        <f>+A89+1</f>
        <v>77</v>
      </c>
      <c r="B91" s="211"/>
      <c r="C91" s="217" t="s">
        <v>157</v>
      </c>
      <c r="D91" s="213" t="s">
        <v>145</v>
      </c>
      <c r="E91" s="599"/>
      <c r="F91" s="325"/>
      <c r="G91" s="232"/>
      <c r="H91" s="213"/>
      <c r="I91" s="213"/>
      <c r="J91" s="212"/>
      <c r="K91" s="212"/>
      <c r="L91" s="212"/>
      <c r="M91" s="212"/>
    </row>
    <row r="92" spans="1:13" ht="15">
      <c r="A92" s="209">
        <f>+A91+1</f>
        <v>78</v>
      </c>
      <c r="B92" s="208"/>
      <c r="C92" s="208" t="s">
        <v>146</v>
      </c>
      <c r="D92" s="172" t="s">
        <v>452</v>
      </c>
      <c r="E92" s="1479">
        <f>+$E$7</f>
        <v>2019</v>
      </c>
      <c r="F92" s="189">
        <v>0</v>
      </c>
      <c r="G92" s="736"/>
      <c r="H92" s="210"/>
      <c r="I92" s="214"/>
      <c r="J92" s="212"/>
      <c r="K92" s="212"/>
      <c r="L92" s="212"/>
      <c r="M92" s="212"/>
    </row>
    <row r="93" spans="1:13">
      <c r="A93" s="209">
        <f t="shared" ref="A93:A104" si="10">+A92+1</f>
        <v>79</v>
      </c>
      <c r="B93" s="208"/>
      <c r="C93" s="246" t="s">
        <v>156</v>
      </c>
      <c r="D93" s="232" t="s">
        <v>147</v>
      </c>
      <c r="E93" s="1479">
        <f>+$E$8</f>
        <v>2020</v>
      </c>
      <c r="F93" s="189">
        <v>0</v>
      </c>
      <c r="G93" s="736"/>
      <c r="H93" s="210"/>
      <c r="I93" s="214"/>
      <c r="J93" s="212"/>
      <c r="K93" s="212"/>
      <c r="L93" s="212"/>
      <c r="M93" s="212"/>
    </row>
    <row r="94" spans="1:13">
      <c r="A94" s="209">
        <f t="shared" si="10"/>
        <v>80</v>
      </c>
      <c r="B94" s="208"/>
      <c r="C94" s="226" t="s">
        <v>155</v>
      </c>
      <c r="D94" s="232" t="s">
        <v>147</v>
      </c>
      <c r="E94" s="1479">
        <f t="shared" ref="E94:E104" si="11">+$E$8</f>
        <v>2020</v>
      </c>
      <c r="F94" s="189">
        <v>0</v>
      </c>
      <c r="G94" s="736"/>
      <c r="H94" s="210"/>
      <c r="I94" s="214"/>
      <c r="J94" s="212"/>
      <c r="K94" s="212"/>
      <c r="L94" s="212"/>
      <c r="M94" s="212"/>
    </row>
    <row r="95" spans="1:13">
      <c r="A95" s="209">
        <f t="shared" si="10"/>
        <v>81</v>
      </c>
      <c r="B95" s="208"/>
      <c r="C95" s="226" t="s">
        <v>154</v>
      </c>
      <c r="D95" s="232" t="s">
        <v>147</v>
      </c>
      <c r="E95" s="1479">
        <f t="shared" si="11"/>
        <v>2020</v>
      </c>
      <c r="F95" s="189">
        <v>0</v>
      </c>
      <c r="G95" s="736"/>
      <c r="H95" s="210"/>
      <c r="I95" s="214"/>
      <c r="J95" s="212"/>
      <c r="K95" s="212"/>
      <c r="L95" s="212"/>
      <c r="M95" s="212"/>
    </row>
    <row r="96" spans="1:13">
      <c r="A96" s="209">
        <f t="shared" si="10"/>
        <v>82</v>
      </c>
      <c r="B96" s="208"/>
      <c r="C96" s="246" t="s">
        <v>134</v>
      </c>
      <c r="D96" s="232" t="s">
        <v>147</v>
      </c>
      <c r="E96" s="1479">
        <f t="shared" si="11"/>
        <v>2020</v>
      </c>
      <c r="F96" s="189">
        <v>0</v>
      </c>
      <c r="G96" s="736"/>
      <c r="H96" s="210"/>
      <c r="I96" s="214"/>
      <c r="J96" s="212"/>
      <c r="K96" s="212"/>
      <c r="L96" s="212"/>
      <c r="M96" s="212"/>
    </row>
    <row r="97" spans="1:13">
      <c r="A97" s="209">
        <f t="shared" si="10"/>
        <v>83</v>
      </c>
      <c r="B97" s="208"/>
      <c r="C97" s="226" t="s">
        <v>131</v>
      </c>
      <c r="D97" s="232" t="s">
        <v>147</v>
      </c>
      <c r="E97" s="1479">
        <f t="shared" si="11"/>
        <v>2020</v>
      </c>
      <c r="F97" s="189">
        <v>0</v>
      </c>
      <c r="G97" s="736"/>
      <c r="H97" s="210"/>
      <c r="I97" s="214"/>
      <c r="J97" s="212"/>
      <c r="K97" s="212"/>
      <c r="L97" s="212"/>
      <c r="M97" s="212"/>
    </row>
    <row r="98" spans="1:13">
      <c r="A98" s="209">
        <f t="shared" si="10"/>
        <v>84</v>
      </c>
      <c r="B98" s="208"/>
      <c r="C98" s="226" t="s">
        <v>153</v>
      </c>
      <c r="D98" s="232" t="s">
        <v>147</v>
      </c>
      <c r="E98" s="1479">
        <f t="shared" si="11"/>
        <v>2020</v>
      </c>
      <c r="F98" s="189">
        <v>0</v>
      </c>
      <c r="G98" s="736"/>
      <c r="H98" s="210"/>
      <c r="I98" s="214"/>
      <c r="J98" s="212"/>
      <c r="K98" s="212"/>
      <c r="L98" s="212"/>
      <c r="M98" s="212"/>
    </row>
    <row r="99" spans="1:13">
      <c r="A99" s="209">
        <f t="shared" si="10"/>
        <v>85</v>
      </c>
      <c r="B99" s="208"/>
      <c r="C99" s="246" t="s">
        <v>152</v>
      </c>
      <c r="D99" s="232" t="s">
        <v>147</v>
      </c>
      <c r="E99" s="1479">
        <f t="shared" si="11"/>
        <v>2020</v>
      </c>
      <c r="F99" s="189">
        <v>0</v>
      </c>
      <c r="G99" s="736"/>
      <c r="H99" s="210"/>
      <c r="I99" s="214"/>
      <c r="J99" s="212"/>
      <c r="K99" s="212"/>
      <c r="L99" s="212"/>
      <c r="M99" s="212"/>
    </row>
    <row r="100" spans="1:13">
      <c r="A100" s="209">
        <f t="shared" si="10"/>
        <v>86</v>
      </c>
      <c r="B100" s="208"/>
      <c r="C100" s="226" t="s">
        <v>151</v>
      </c>
      <c r="D100" s="232" t="s">
        <v>147</v>
      </c>
      <c r="E100" s="1479">
        <f t="shared" si="11"/>
        <v>2020</v>
      </c>
      <c r="F100" s="189">
        <v>0</v>
      </c>
      <c r="G100" s="736"/>
      <c r="H100" s="210"/>
      <c r="I100" s="214"/>
      <c r="J100" s="212"/>
      <c r="K100" s="212"/>
      <c r="L100" s="212"/>
      <c r="M100" s="212"/>
    </row>
    <row r="101" spans="1:13">
      <c r="A101" s="209">
        <f t="shared" si="10"/>
        <v>87</v>
      </c>
      <c r="B101" s="208"/>
      <c r="C101" s="226" t="s">
        <v>150</v>
      </c>
      <c r="D101" s="232" t="s">
        <v>147</v>
      </c>
      <c r="E101" s="1479">
        <f t="shared" si="11"/>
        <v>2020</v>
      </c>
      <c r="F101" s="189">
        <v>0</v>
      </c>
      <c r="G101" s="736"/>
      <c r="H101" s="210"/>
      <c r="I101" s="214"/>
      <c r="J101" s="212"/>
      <c r="K101" s="212"/>
      <c r="L101" s="212"/>
      <c r="M101" s="212"/>
    </row>
    <row r="102" spans="1:13">
      <c r="A102" s="209">
        <f t="shared" si="10"/>
        <v>88</v>
      </c>
      <c r="B102" s="208"/>
      <c r="C102" s="246" t="s">
        <v>149</v>
      </c>
      <c r="D102" s="232" t="s">
        <v>147</v>
      </c>
      <c r="E102" s="1479">
        <f t="shared" si="11"/>
        <v>2020</v>
      </c>
      <c r="F102" s="189">
        <v>0</v>
      </c>
      <c r="G102" s="736"/>
      <c r="H102" s="210"/>
      <c r="I102" s="214"/>
      <c r="J102" s="212"/>
      <c r="K102" s="212"/>
      <c r="L102" s="212"/>
      <c r="M102" s="212"/>
    </row>
    <row r="103" spans="1:13">
      <c r="A103" s="209">
        <f t="shared" si="10"/>
        <v>89</v>
      </c>
      <c r="B103" s="208"/>
      <c r="C103" s="246" t="s">
        <v>148</v>
      </c>
      <c r="D103" s="232" t="s">
        <v>147</v>
      </c>
      <c r="E103" s="1479">
        <f t="shared" si="11"/>
        <v>2020</v>
      </c>
      <c r="F103" s="189">
        <v>0</v>
      </c>
      <c r="G103" s="736"/>
      <c r="H103" s="210"/>
      <c r="I103" s="214"/>
      <c r="J103" s="212"/>
      <c r="K103" s="212"/>
      <c r="L103" s="212"/>
      <c r="M103" s="212"/>
    </row>
    <row r="104" spans="1:13" ht="15">
      <c r="A104" s="209">
        <f t="shared" si="10"/>
        <v>90</v>
      </c>
      <c r="B104" s="211"/>
      <c r="C104" s="223" t="s">
        <v>146</v>
      </c>
      <c r="D104" s="173" t="s">
        <v>453</v>
      </c>
      <c r="E104" s="1480">
        <f t="shared" si="11"/>
        <v>2020</v>
      </c>
      <c r="F104" s="190">
        <v>0</v>
      </c>
      <c r="G104" s="739"/>
      <c r="H104" s="213"/>
      <c r="I104" s="213"/>
      <c r="J104" s="213"/>
      <c r="K104" s="213"/>
      <c r="L104" s="213"/>
      <c r="M104" s="213"/>
    </row>
    <row r="105" spans="1:13">
      <c r="A105" s="209">
        <f>+A104+1</f>
        <v>91</v>
      </c>
      <c r="B105" s="213"/>
      <c r="C105" s="257" t="s">
        <v>190</v>
      </c>
      <c r="D105" s="213" t="str">
        <f>"(sum lines "&amp;A92&amp;" - "&amp;A104&amp;") /13"</f>
        <v>(sum lines 78 - 90) /13</v>
      </c>
      <c r="E105" s="598"/>
      <c r="F105" s="332">
        <f>SUM(F92:F104)/13</f>
        <v>0</v>
      </c>
      <c r="G105" s="673"/>
      <c r="H105" s="213"/>
      <c r="I105" s="213"/>
      <c r="J105" s="212"/>
      <c r="K105" s="212"/>
      <c r="L105" s="212"/>
      <c r="M105" s="212"/>
    </row>
    <row r="106" spans="1:13">
      <c r="A106" s="209"/>
      <c r="B106" s="211"/>
      <c r="C106" s="226"/>
      <c r="D106" s="253"/>
      <c r="E106" s="600"/>
      <c r="F106" s="335"/>
      <c r="G106" s="232"/>
      <c r="H106" s="213"/>
      <c r="I106" s="213"/>
      <c r="J106" s="213"/>
      <c r="K106" s="213"/>
      <c r="L106" s="213"/>
      <c r="M106" s="213"/>
    </row>
    <row r="107" spans="1:13">
      <c r="A107" s="209">
        <f>+A105+1</f>
        <v>92</v>
      </c>
      <c r="B107" s="211"/>
      <c r="C107" s="328" t="s">
        <v>191</v>
      </c>
      <c r="D107" s="253" t="str">
        <f>"(sum lines "&amp;A73&amp;", "&amp;A89&amp;", and "&amp;A105&amp;")"</f>
        <v>(sum lines 61, 76, and 91)</v>
      </c>
      <c r="E107" s="291"/>
      <c r="F107" s="331">
        <f>F73+F89+F105</f>
        <v>0</v>
      </c>
      <c r="G107" s="215"/>
      <c r="H107" s="326"/>
      <c r="I107" s="213"/>
      <c r="J107" s="213"/>
      <c r="K107" s="213"/>
      <c r="L107" s="213"/>
      <c r="M107" s="213"/>
    </row>
    <row r="108" spans="1:13" ht="13.5" thickBot="1">
      <c r="A108" s="244"/>
      <c r="B108" s="283"/>
      <c r="C108" s="289"/>
      <c r="D108" s="324"/>
      <c r="E108" s="290"/>
      <c r="F108" s="292"/>
      <c r="G108" s="215"/>
      <c r="H108" s="210"/>
      <c r="I108" s="210"/>
      <c r="J108" s="212"/>
      <c r="K108" s="212"/>
      <c r="L108" s="212"/>
      <c r="M108" s="212"/>
    </row>
    <row r="109" spans="1:13">
      <c r="A109" s="234"/>
      <c r="B109" s="323"/>
      <c r="C109" s="226"/>
      <c r="D109" s="213"/>
      <c r="E109" s="269"/>
      <c r="F109" s="226"/>
      <c r="G109" s="215"/>
      <c r="H109" s="210"/>
      <c r="I109" s="210"/>
      <c r="J109" s="212"/>
      <c r="K109" s="212"/>
      <c r="L109" s="212"/>
      <c r="M109" s="212"/>
    </row>
    <row r="162" spans="8:8">
      <c r="H162" s="864"/>
    </row>
  </sheetData>
  <mergeCells count="6">
    <mergeCell ref="J5:M5"/>
    <mergeCell ref="A5:F5"/>
    <mergeCell ref="A58:F58"/>
    <mergeCell ref="J58:M58"/>
    <mergeCell ref="A1:F1"/>
    <mergeCell ref="A2:F2"/>
  </mergeCells>
  <phoneticPr fontId="0" type="noConversion"/>
  <printOptions horizontalCentered="1"/>
  <pageMargins left="0.25" right="0.25" top="0.75" bottom="0.75" header="0.5" footer="0.5"/>
  <pageSetup scale="70" fitToHeight="0" orientation="landscape" r:id="rId1"/>
  <headerFooter alignWithMargins="0"/>
  <rowBreaks count="2" manualBreakCount="2">
    <brk id="55" max="5" man="1"/>
    <brk id="10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V210"/>
  <sheetViews>
    <sheetView view="pageBreakPreview" topLeftCell="A145" zoomScale="60" zoomScaleNormal="100" workbookViewId="0">
      <selection activeCell="E168" sqref="E168"/>
    </sheetView>
  </sheetViews>
  <sheetFormatPr defaultColWidth="8.77734375" defaultRowHeight="12.75"/>
  <cols>
    <col min="1" max="1" width="5" style="203" customWidth="1"/>
    <col min="2" max="2" width="3.21875" style="199" customWidth="1"/>
    <col min="3" max="3" width="48.21875" style="199" customWidth="1"/>
    <col min="4" max="4" width="18.77734375" style="199" customWidth="1"/>
    <col min="5" max="5" width="15.109375" style="199" customWidth="1"/>
    <col min="6" max="6" width="18.109375" style="199" customWidth="1"/>
    <col min="7" max="7" width="15.21875" style="199" customWidth="1"/>
    <col min="8" max="8" width="11.77734375" style="199" customWidth="1"/>
    <col min="9" max="9" width="13" style="199" customWidth="1"/>
    <col min="10" max="10" width="10.77734375" style="199" customWidth="1"/>
    <col min="11" max="11" width="9" style="199" customWidth="1"/>
    <col min="12" max="13" width="7.5546875" style="199" customWidth="1"/>
    <col min="14" max="16384" width="8.77734375" style="199"/>
  </cols>
  <sheetData>
    <row r="1" spans="1:22">
      <c r="A1" s="234"/>
      <c r="B1" s="323"/>
      <c r="C1" s="226"/>
      <c r="D1" s="213"/>
      <c r="E1" s="269"/>
      <c r="F1" s="226"/>
      <c r="G1" s="215"/>
      <c r="H1" s="210"/>
      <c r="I1" s="210"/>
      <c r="J1" s="212"/>
      <c r="K1" s="212"/>
      <c r="L1" s="212"/>
      <c r="M1" s="212"/>
    </row>
    <row r="2" spans="1:22" ht="13.5" thickBot="1">
      <c r="A2" s="220" t="str">
        <f>+'Appendix III'!C72</f>
        <v>ADJUSTMENTS TO RATE BASE       (Note A)</v>
      </c>
      <c r="K2" s="199" t="s">
        <v>391</v>
      </c>
    </row>
    <row r="3" spans="1:22" ht="50.25" customHeight="1" thickBot="1">
      <c r="A3" s="1529" t="s">
        <v>498</v>
      </c>
      <c r="B3" s="1530"/>
      <c r="C3" s="1530"/>
      <c r="D3" s="1530"/>
      <c r="E3" s="1530"/>
      <c r="F3" s="1531"/>
      <c r="G3" s="322"/>
      <c r="H3" s="322"/>
      <c r="I3" s="322"/>
      <c r="J3" s="1532" t="s">
        <v>110</v>
      </c>
      <c r="K3" s="1533"/>
      <c r="L3" s="1533"/>
      <c r="M3" s="1534"/>
    </row>
    <row r="4" spans="1:22">
      <c r="A4" s="321"/>
      <c r="B4" s="318"/>
      <c r="C4" s="320"/>
      <c r="D4" s="319"/>
      <c r="E4" s="318" t="s">
        <v>199</v>
      </c>
      <c r="F4" s="317" t="s">
        <v>140</v>
      </c>
      <c r="G4" s="316" t="s">
        <v>200</v>
      </c>
      <c r="H4" s="315"/>
      <c r="I4" s="314"/>
      <c r="J4" s="313"/>
      <c r="K4" s="219"/>
      <c r="L4" s="219"/>
      <c r="M4" s="218"/>
    </row>
    <row r="5" spans="1:22" s="1" customFormat="1" ht="15">
      <c r="A5" s="311">
        <f>+'2 - Cost Support '!A107+1</f>
        <v>93</v>
      </c>
      <c r="B5" s="310"/>
      <c r="C5" s="309" t="s">
        <v>274</v>
      </c>
      <c r="D5" s="309" t="s">
        <v>39</v>
      </c>
      <c r="E5" s="224">
        <v>0</v>
      </c>
      <c r="F5" s="224">
        <v>0</v>
      </c>
      <c r="G5" s="579">
        <f>+E5/2+F5/2</f>
        <v>0</v>
      </c>
      <c r="H5" s="306"/>
      <c r="I5" s="305"/>
      <c r="J5" s="305"/>
      <c r="K5" s="305"/>
      <c r="L5" s="304"/>
      <c r="M5" s="166"/>
      <c r="N5" s="7"/>
      <c r="O5" s="7"/>
      <c r="P5" s="7"/>
      <c r="Q5" s="7"/>
      <c r="R5" s="7"/>
      <c r="S5" s="7"/>
      <c r="T5" s="7"/>
      <c r="U5" s="7"/>
      <c r="V5" s="7"/>
    </row>
    <row r="6" spans="1:22" s="1" customFormat="1" ht="15">
      <c r="A6" s="311"/>
      <c r="B6" s="310"/>
      <c r="C6" s="310"/>
      <c r="D6" s="309"/>
      <c r="E6" s="308"/>
      <c r="F6" s="308"/>
      <c r="G6" s="579"/>
      <c r="H6" s="306"/>
      <c r="I6" s="305"/>
      <c r="J6" s="305"/>
      <c r="K6" s="305"/>
      <c r="L6" s="304"/>
      <c r="M6" s="166"/>
      <c r="N6" s="7"/>
      <c r="O6" s="7"/>
      <c r="P6" s="7"/>
      <c r="Q6" s="7"/>
      <c r="R6" s="7"/>
      <c r="S6" s="7"/>
      <c r="T6" s="7"/>
      <c r="U6" s="7"/>
      <c r="V6" s="7"/>
    </row>
    <row r="7" spans="1:22" s="1" customFormat="1" ht="15">
      <c r="A7" s="311">
        <f>+A5+1</f>
        <v>94</v>
      </c>
      <c r="B7" s="310"/>
      <c r="C7" s="310" t="s">
        <v>227</v>
      </c>
      <c r="D7" s="308" t="s">
        <v>228</v>
      </c>
      <c r="E7" s="1508">
        <v>5762552.7599999998</v>
      </c>
      <c r="F7" s="1508">
        <v>4321914.5684210518</v>
      </c>
      <c r="G7" s="580">
        <f>+E7/2+F7/2</f>
        <v>5042233.6642105263</v>
      </c>
      <c r="H7" s="163"/>
      <c r="I7" s="127"/>
      <c r="J7" s="127"/>
      <c r="K7" s="305"/>
      <c r="L7" s="304"/>
      <c r="M7" s="166"/>
      <c r="N7" s="7"/>
      <c r="O7" s="7"/>
      <c r="P7" s="7"/>
      <c r="Q7" s="7"/>
      <c r="R7" s="7"/>
      <c r="S7" s="7"/>
      <c r="T7" s="7"/>
      <c r="U7" s="7"/>
      <c r="V7" s="7"/>
    </row>
    <row r="8" spans="1:22" s="1" customFormat="1" ht="15">
      <c r="A8" s="311"/>
      <c r="B8" s="310"/>
      <c r="C8" s="388" t="s">
        <v>1003</v>
      </c>
      <c r="D8" s="308"/>
      <c r="E8" s="308"/>
      <c r="F8" s="308"/>
      <c r="G8" s="580"/>
      <c r="H8" s="163"/>
      <c r="I8" s="127"/>
      <c r="J8" s="126"/>
      <c r="K8" s="305"/>
      <c r="L8" s="304"/>
      <c r="M8" s="166"/>
      <c r="N8" s="7"/>
      <c r="O8" s="7"/>
      <c r="P8" s="7"/>
      <c r="Q8" s="7"/>
      <c r="R8" s="7"/>
      <c r="S8" s="7"/>
      <c r="T8" s="7"/>
      <c r="U8" s="7"/>
      <c r="V8" s="7"/>
    </row>
    <row r="9" spans="1:22" s="1" customFormat="1" ht="15">
      <c r="A9" s="311">
        <f>+A7+1</f>
        <v>95</v>
      </c>
      <c r="B9" s="310"/>
      <c r="C9" s="388" t="s">
        <v>443</v>
      </c>
      <c r="D9" s="308"/>
      <c r="E9" s="308"/>
      <c r="F9" s="1509">
        <v>1440638.1894736844</v>
      </c>
      <c r="G9" s="580"/>
      <c r="H9" s="163"/>
      <c r="I9" s="127"/>
      <c r="J9" s="126"/>
      <c r="K9" s="305"/>
      <c r="L9" s="304"/>
      <c r="M9" s="166"/>
      <c r="N9" s="7"/>
      <c r="O9" s="7"/>
      <c r="P9" s="7"/>
      <c r="Q9" s="7"/>
      <c r="R9" s="7"/>
      <c r="S9" s="7"/>
      <c r="T9" s="7"/>
      <c r="U9" s="7"/>
      <c r="V9" s="7"/>
    </row>
    <row r="10" spans="1:22" s="1" customFormat="1" ht="15">
      <c r="A10" s="311"/>
      <c r="B10" s="310"/>
      <c r="C10" s="388" t="str">
        <f>+C8</f>
        <v xml:space="preserve">  (recovery of abandoned plant requires a FERC order approving the amount and recovery period and Attachment 11 being completed)</v>
      </c>
      <c r="D10" s="308"/>
      <c r="E10" s="308"/>
      <c r="F10" s="308"/>
      <c r="G10" s="580"/>
      <c r="H10" s="163"/>
      <c r="I10" s="127"/>
      <c r="J10" s="126"/>
      <c r="K10" s="305"/>
      <c r="L10" s="304"/>
      <c r="M10" s="166"/>
      <c r="N10" s="7"/>
      <c r="O10" s="7"/>
      <c r="P10" s="7"/>
      <c r="Q10" s="7"/>
      <c r="R10" s="7"/>
      <c r="S10" s="7"/>
      <c r="T10" s="7"/>
      <c r="U10" s="7"/>
      <c r="V10" s="7"/>
    </row>
    <row r="11" spans="1:22" s="1" customFormat="1" ht="15">
      <c r="A11" s="311">
        <f>+A9+1</f>
        <v>96</v>
      </c>
      <c r="B11" s="310"/>
      <c r="C11" s="717" t="s">
        <v>223</v>
      </c>
      <c r="E11" s="215"/>
      <c r="F11" s="215"/>
      <c r="G11" s="580"/>
      <c r="H11" s="163"/>
      <c r="I11" s="127"/>
      <c r="J11" s="127"/>
      <c r="K11" s="305"/>
      <c r="L11" s="304"/>
      <c r="M11" s="166"/>
      <c r="N11" s="7"/>
      <c r="O11" s="7"/>
      <c r="P11" s="7"/>
      <c r="Q11" s="7"/>
      <c r="R11" s="7"/>
      <c r="S11" s="7"/>
      <c r="T11" s="7"/>
      <c r="U11" s="7"/>
      <c r="V11" s="7"/>
    </row>
    <row r="12" spans="1:22" s="1" customFormat="1" ht="15">
      <c r="A12" s="311"/>
      <c r="B12" s="310"/>
      <c r="C12" s="309" t="s">
        <v>320</v>
      </c>
      <c r="D12" s="309"/>
      <c r="E12" s="210" t="s">
        <v>135</v>
      </c>
      <c r="F12" s="216" t="s">
        <v>130</v>
      </c>
      <c r="G12" s="307"/>
      <c r="H12" s="312"/>
      <c r="I12" s="305"/>
      <c r="J12" s="305"/>
      <c r="K12" s="305"/>
      <c r="L12" s="304"/>
      <c r="M12" s="166"/>
      <c r="N12" s="7"/>
      <c r="O12" s="7"/>
      <c r="P12" s="7"/>
      <c r="Q12" s="7"/>
      <c r="R12" s="7"/>
      <c r="S12" s="7"/>
      <c r="T12" s="7"/>
      <c r="U12" s="7"/>
      <c r="V12" s="7"/>
    </row>
    <row r="13" spans="1:22" s="1" customFormat="1" ht="15">
      <c r="A13" s="235">
        <f>+A11+1</f>
        <v>97</v>
      </c>
      <c r="B13" s="234"/>
      <c r="C13" s="208" t="s">
        <v>146</v>
      </c>
      <c r="D13" s="308" t="s">
        <v>446</v>
      </c>
      <c r="E13" s="596">
        <v>0</v>
      </c>
      <c r="F13" s="1192">
        <v>0</v>
      </c>
      <c r="I13" s="305"/>
      <c r="J13" s="305"/>
      <c r="K13" s="305"/>
      <c r="L13" s="304"/>
      <c r="M13" s="166"/>
      <c r="N13" s="7"/>
      <c r="O13" s="7"/>
      <c r="P13" s="7"/>
      <c r="Q13" s="7"/>
      <c r="R13" s="7"/>
      <c r="S13" s="7"/>
      <c r="T13" s="7"/>
      <c r="U13" s="7"/>
      <c r="V13" s="7"/>
    </row>
    <row r="14" spans="1:22" s="1" customFormat="1" ht="15">
      <c r="A14" s="235">
        <f t="shared" ref="A14:A26" si="0">+A13+1</f>
        <v>98</v>
      </c>
      <c r="B14" s="234"/>
      <c r="C14" s="246" t="s">
        <v>156</v>
      </c>
      <c r="D14" s="232" t="s">
        <v>147</v>
      </c>
      <c r="E14" s="596">
        <v>0</v>
      </c>
      <c r="F14" s="1192">
        <v>0</v>
      </c>
      <c r="I14" s="305"/>
      <c r="J14" s="305"/>
      <c r="K14" s="305"/>
      <c r="L14" s="304"/>
      <c r="M14" s="166"/>
      <c r="N14" s="7"/>
      <c r="O14" s="7"/>
      <c r="P14" s="7"/>
      <c r="Q14" s="7"/>
      <c r="R14" s="7"/>
      <c r="S14" s="7"/>
      <c r="T14" s="7"/>
      <c r="U14" s="7"/>
      <c r="V14" s="7"/>
    </row>
    <row r="15" spans="1:22" s="1" customFormat="1" ht="15">
      <c r="A15" s="235">
        <f t="shared" si="0"/>
        <v>99</v>
      </c>
      <c r="B15" s="234"/>
      <c r="C15" s="226" t="s">
        <v>155</v>
      </c>
      <c r="D15" s="232" t="s">
        <v>147</v>
      </c>
      <c r="E15" s="596">
        <v>0</v>
      </c>
      <c r="F15" s="1192">
        <v>0</v>
      </c>
      <c r="I15" s="305"/>
      <c r="J15" s="305"/>
      <c r="K15" s="305"/>
      <c r="L15" s="304"/>
      <c r="M15" s="166"/>
      <c r="N15" s="7"/>
      <c r="O15" s="7"/>
      <c r="P15" s="7"/>
      <c r="Q15" s="7"/>
      <c r="R15" s="7"/>
      <c r="S15" s="7"/>
      <c r="T15" s="7"/>
      <c r="U15" s="7"/>
      <c r="V15" s="7"/>
    </row>
    <row r="16" spans="1:22" s="1" customFormat="1" ht="15">
      <c r="A16" s="235">
        <f t="shared" si="0"/>
        <v>100</v>
      </c>
      <c r="B16" s="234"/>
      <c r="C16" s="226" t="s">
        <v>154</v>
      </c>
      <c r="D16" s="232" t="s">
        <v>147</v>
      </c>
      <c r="E16" s="596">
        <v>0</v>
      </c>
      <c r="F16" s="1192">
        <v>0</v>
      </c>
      <c r="I16" s="305"/>
      <c r="J16" s="305"/>
      <c r="K16" s="305"/>
      <c r="L16" s="304"/>
      <c r="M16" s="166"/>
      <c r="N16" s="7"/>
      <c r="O16" s="7"/>
      <c r="P16" s="7"/>
      <c r="Q16" s="7"/>
      <c r="R16" s="7"/>
      <c r="S16" s="7"/>
      <c r="T16" s="7"/>
      <c r="U16" s="7"/>
      <c r="V16" s="7"/>
    </row>
    <row r="17" spans="1:22" s="1" customFormat="1" ht="15">
      <c r="A17" s="235">
        <f t="shared" si="0"/>
        <v>101</v>
      </c>
      <c r="B17" s="234"/>
      <c r="C17" s="246" t="s">
        <v>134</v>
      </c>
      <c r="D17" s="232" t="s">
        <v>147</v>
      </c>
      <c r="E17" s="596">
        <v>0</v>
      </c>
      <c r="F17" s="1192">
        <v>0</v>
      </c>
      <c r="I17" s="305"/>
      <c r="J17" s="305"/>
      <c r="K17" s="305"/>
      <c r="L17" s="304"/>
      <c r="M17" s="166"/>
      <c r="N17" s="7"/>
      <c r="O17" s="7"/>
      <c r="P17" s="7"/>
      <c r="Q17" s="7"/>
      <c r="R17" s="7"/>
      <c r="S17" s="7"/>
      <c r="T17" s="7"/>
      <c r="U17" s="7"/>
      <c r="V17" s="7"/>
    </row>
    <row r="18" spans="1:22" s="1" customFormat="1" ht="15">
      <c r="A18" s="235">
        <f t="shared" si="0"/>
        <v>102</v>
      </c>
      <c r="B18" s="234"/>
      <c r="C18" s="226" t="s">
        <v>131</v>
      </c>
      <c r="D18" s="232" t="s">
        <v>147</v>
      </c>
      <c r="E18" s="596">
        <v>0</v>
      </c>
      <c r="F18" s="1192">
        <v>0</v>
      </c>
      <c r="I18" s="305"/>
      <c r="J18" s="305"/>
      <c r="K18" s="305"/>
      <c r="L18" s="304"/>
      <c r="M18" s="166"/>
      <c r="N18" s="7"/>
      <c r="O18" s="7"/>
      <c r="P18" s="7"/>
      <c r="Q18" s="7"/>
      <c r="R18" s="7"/>
      <c r="S18" s="7"/>
      <c r="T18" s="7"/>
      <c r="U18" s="7"/>
      <c r="V18" s="7"/>
    </row>
    <row r="19" spans="1:22" s="1" customFormat="1" ht="15">
      <c r="A19" s="235">
        <f t="shared" si="0"/>
        <v>103</v>
      </c>
      <c r="B19" s="234"/>
      <c r="C19" s="226" t="s">
        <v>153</v>
      </c>
      <c r="D19" s="232" t="s">
        <v>147</v>
      </c>
      <c r="E19" s="596">
        <v>0</v>
      </c>
      <c r="F19" s="1192">
        <v>0</v>
      </c>
      <c r="I19" s="305"/>
      <c r="J19" s="305"/>
      <c r="K19" s="305"/>
      <c r="L19" s="304"/>
      <c r="M19" s="166"/>
      <c r="N19" s="7"/>
      <c r="O19" s="7"/>
      <c r="P19" s="7"/>
      <c r="Q19" s="7"/>
      <c r="R19" s="7"/>
      <c r="S19" s="7"/>
      <c r="T19" s="7"/>
      <c r="U19" s="7"/>
      <c r="V19" s="7"/>
    </row>
    <row r="20" spans="1:22" s="1" customFormat="1" ht="15">
      <c r="A20" s="235">
        <f t="shared" si="0"/>
        <v>104</v>
      </c>
      <c r="B20" s="234"/>
      <c r="C20" s="246" t="s">
        <v>152</v>
      </c>
      <c r="D20" s="232" t="s">
        <v>147</v>
      </c>
      <c r="E20" s="596">
        <v>0</v>
      </c>
      <c r="F20" s="1192">
        <v>0</v>
      </c>
      <c r="I20" s="305"/>
      <c r="J20" s="305"/>
      <c r="K20" s="305"/>
      <c r="L20" s="304"/>
      <c r="M20" s="166"/>
      <c r="N20" s="7"/>
      <c r="O20" s="7"/>
      <c r="P20" s="7"/>
      <c r="Q20" s="7"/>
      <c r="R20" s="7"/>
      <c r="S20" s="7"/>
      <c r="T20" s="7"/>
      <c r="U20" s="7"/>
      <c r="V20" s="7"/>
    </row>
    <row r="21" spans="1:22" s="1" customFormat="1" ht="15">
      <c r="A21" s="235">
        <f t="shared" si="0"/>
        <v>105</v>
      </c>
      <c r="B21" s="234"/>
      <c r="C21" s="226" t="s">
        <v>151</v>
      </c>
      <c r="D21" s="232" t="s">
        <v>147</v>
      </c>
      <c r="E21" s="596">
        <v>0</v>
      </c>
      <c r="F21" s="1192">
        <v>0</v>
      </c>
      <c r="I21" s="305"/>
      <c r="J21" s="305"/>
      <c r="K21" s="305"/>
      <c r="L21" s="304"/>
      <c r="M21" s="166"/>
      <c r="N21" s="7"/>
      <c r="O21" s="7"/>
      <c r="P21" s="7"/>
      <c r="Q21" s="7"/>
      <c r="R21" s="7"/>
      <c r="S21" s="7"/>
      <c r="T21" s="7"/>
      <c r="U21" s="7"/>
      <c r="V21" s="7"/>
    </row>
    <row r="22" spans="1:22" s="1" customFormat="1" ht="15">
      <c r="A22" s="235">
        <f t="shared" si="0"/>
        <v>106</v>
      </c>
      <c r="B22" s="234"/>
      <c r="C22" s="226" t="s">
        <v>150</v>
      </c>
      <c r="D22" s="232" t="s">
        <v>147</v>
      </c>
      <c r="E22" s="596">
        <v>0</v>
      </c>
      <c r="F22" s="1192">
        <v>0</v>
      </c>
      <c r="I22" s="305"/>
      <c r="J22" s="305"/>
      <c r="K22" s="305"/>
      <c r="L22" s="304"/>
      <c r="M22" s="166"/>
      <c r="N22" s="7"/>
      <c r="O22" s="7"/>
      <c r="P22" s="7"/>
      <c r="Q22" s="7"/>
      <c r="R22" s="7"/>
      <c r="S22" s="7"/>
      <c r="T22" s="7"/>
      <c r="U22" s="7"/>
      <c r="V22" s="7"/>
    </row>
    <row r="23" spans="1:22" s="1" customFormat="1" ht="15">
      <c r="A23" s="235">
        <f t="shared" si="0"/>
        <v>107</v>
      </c>
      <c r="B23" s="234"/>
      <c r="C23" s="246" t="s">
        <v>149</v>
      </c>
      <c r="D23" s="232" t="s">
        <v>147</v>
      </c>
      <c r="E23" s="596">
        <v>0</v>
      </c>
      <c r="F23" s="1192">
        <v>0</v>
      </c>
      <c r="I23" s="305"/>
      <c r="J23" s="305"/>
      <c r="K23" s="305"/>
      <c r="L23" s="304"/>
      <c r="M23" s="166"/>
      <c r="N23" s="7"/>
      <c r="O23" s="7"/>
      <c r="P23" s="7"/>
      <c r="Q23" s="7"/>
      <c r="R23" s="7"/>
      <c r="S23" s="7"/>
      <c r="T23" s="7"/>
      <c r="U23" s="7"/>
      <c r="V23" s="7"/>
    </row>
    <row r="24" spans="1:22" s="1" customFormat="1" ht="15">
      <c r="A24" s="235">
        <f t="shared" si="0"/>
        <v>108</v>
      </c>
      <c r="B24" s="234"/>
      <c r="C24" s="246" t="s">
        <v>148</v>
      </c>
      <c r="D24" s="232" t="s">
        <v>147</v>
      </c>
      <c r="E24" s="596">
        <v>0</v>
      </c>
      <c r="F24" s="1192">
        <v>0</v>
      </c>
      <c r="I24" s="305"/>
      <c r="J24" s="305"/>
      <c r="K24" s="305"/>
      <c r="L24" s="304"/>
      <c r="M24" s="166"/>
      <c r="N24" s="7"/>
      <c r="O24" s="7"/>
      <c r="P24" s="7"/>
      <c r="Q24" s="7"/>
      <c r="R24" s="7"/>
      <c r="S24" s="7"/>
      <c r="T24" s="7"/>
      <c r="U24" s="7"/>
      <c r="V24" s="7"/>
    </row>
    <row r="25" spans="1:22" s="1" customFormat="1" ht="15">
      <c r="A25" s="235">
        <f t="shared" si="0"/>
        <v>109</v>
      </c>
      <c r="B25" s="234"/>
      <c r="C25" s="223" t="s">
        <v>146</v>
      </c>
      <c r="D25" s="716" t="s">
        <v>41</v>
      </c>
      <c r="E25" s="597">
        <v>0</v>
      </c>
      <c r="F25" s="1193">
        <v>0</v>
      </c>
      <c r="I25" s="305"/>
      <c r="J25" s="305"/>
      <c r="K25" s="305"/>
      <c r="L25" s="304"/>
      <c r="M25" s="166"/>
      <c r="N25" s="7"/>
      <c r="O25" s="7"/>
      <c r="P25" s="7"/>
      <c r="Q25" s="7"/>
      <c r="R25" s="7"/>
      <c r="S25" s="7"/>
      <c r="T25" s="7"/>
      <c r="U25" s="7"/>
      <c r="V25" s="7"/>
    </row>
    <row r="26" spans="1:22" s="1" customFormat="1" ht="15">
      <c r="A26" s="235">
        <f t="shared" si="0"/>
        <v>110</v>
      </c>
      <c r="B26" s="234"/>
      <c r="C26" s="257" t="s">
        <v>442</v>
      </c>
      <c r="D26" s="232" t="str">
        <f>"(sum lines "&amp;A13&amp;"-"&amp;A25&amp;") /13"</f>
        <v>(sum lines 97-109) /13</v>
      </c>
      <c r="E26" s="255"/>
      <c r="F26" s="332">
        <f>SUM(F13:F25)/13</f>
        <v>0</v>
      </c>
      <c r="I26" s="305"/>
      <c r="J26" s="305"/>
      <c r="K26" s="305"/>
      <c r="L26" s="304"/>
      <c r="M26" s="166"/>
      <c r="N26" s="7"/>
      <c r="O26" s="7"/>
      <c r="P26" s="7"/>
      <c r="Q26" s="7"/>
      <c r="R26" s="7"/>
      <c r="S26" s="7"/>
      <c r="T26" s="7"/>
      <c r="U26" s="7"/>
      <c r="V26" s="7"/>
    </row>
    <row r="27" spans="1:22" s="1" customFormat="1" ht="15">
      <c r="A27" s="311"/>
      <c r="B27" s="310"/>
      <c r="C27" s="309"/>
      <c r="D27" s="309"/>
      <c r="E27" s="308"/>
      <c r="F27" s="308"/>
      <c r="G27" s="307"/>
      <c r="H27" s="312"/>
      <c r="I27" s="305"/>
      <c r="J27" s="305"/>
      <c r="K27" s="305"/>
      <c r="L27" s="304"/>
      <c r="M27" s="166"/>
      <c r="N27" s="7"/>
      <c r="O27" s="7"/>
      <c r="P27" s="7"/>
      <c r="Q27" s="7"/>
      <c r="R27" s="7"/>
      <c r="S27" s="7"/>
      <c r="T27" s="7"/>
      <c r="U27" s="7"/>
      <c r="V27" s="7"/>
    </row>
    <row r="28" spans="1:22" ht="13.5" thickBot="1">
      <c r="A28" s="235"/>
      <c r="B28" s="234"/>
      <c r="C28" s="389"/>
      <c r="D28" s="294"/>
      <c r="E28" s="226"/>
      <c r="F28" s="208"/>
      <c r="G28" s="303"/>
      <c r="H28" s="233"/>
      <c r="I28" s="299"/>
      <c r="J28" s="298"/>
      <c r="K28" s="297"/>
      <c r="L28" s="297"/>
      <c r="M28" s="296"/>
    </row>
    <row r="29" spans="1:22">
      <c r="A29" s="321">
        <f>+A26+1</f>
        <v>111</v>
      </c>
      <c r="B29" s="318"/>
      <c r="C29" s="429" t="s">
        <v>197</v>
      </c>
      <c r="D29" s="742" t="s">
        <v>145</v>
      </c>
      <c r="E29" s="317" t="s">
        <v>135</v>
      </c>
      <c r="F29" s="830" t="s">
        <v>1056</v>
      </c>
      <c r="G29" s="831" t="s">
        <v>371</v>
      </c>
      <c r="H29" s="763" t="s">
        <v>21</v>
      </c>
      <c r="I29" s="397"/>
      <c r="J29" s="744"/>
      <c r="K29" s="746"/>
      <c r="L29" s="746"/>
      <c r="M29" s="747"/>
    </row>
    <row r="30" spans="1:22">
      <c r="A30" s="235">
        <f t="shared" ref="A30:A43" si="1">+A29+1</f>
        <v>112</v>
      </c>
      <c r="B30" s="234"/>
      <c r="C30" s="208" t="s">
        <v>146</v>
      </c>
      <c r="D30" s="253" t="s">
        <v>447</v>
      </c>
      <c r="E30" s="596">
        <v>0</v>
      </c>
      <c r="F30" s="1189">
        <v>0</v>
      </c>
      <c r="G30" s="1188">
        <v>0</v>
      </c>
      <c r="H30" s="196">
        <f>+F30+G30</f>
        <v>0</v>
      </c>
      <c r="I30" s="350"/>
      <c r="J30" s="298"/>
      <c r="K30" s="743"/>
      <c r="L30" s="743"/>
      <c r="M30" s="745"/>
    </row>
    <row r="31" spans="1:22">
      <c r="A31" s="235">
        <f t="shared" si="1"/>
        <v>113</v>
      </c>
      <c r="B31" s="234"/>
      <c r="C31" s="246" t="s">
        <v>156</v>
      </c>
      <c r="D31" s="232" t="s">
        <v>147</v>
      </c>
      <c r="E31" s="596">
        <v>0</v>
      </c>
      <c r="F31" s="1189">
        <v>0</v>
      </c>
      <c r="G31" s="1188">
        <v>0</v>
      </c>
      <c r="H31" s="196">
        <f t="shared" ref="H31:H42" si="2">+F31+G31</f>
        <v>0</v>
      </c>
      <c r="I31" s="350"/>
      <c r="J31" s="298"/>
      <c r="K31" s="743"/>
      <c r="L31" s="743"/>
      <c r="M31" s="745"/>
    </row>
    <row r="32" spans="1:22">
      <c r="A32" s="235">
        <f t="shared" si="1"/>
        <v>114</v>
      </c>
      <c r="B32" s="234"/>
      <c r="C32" s="226" t="s">
        <v>155</v>
      </c>
      <c r="D32" s="232" t="s">
        <v>147</v>
      </c>
      <c r="E32" s="596">
        <v>0</v>
      </c>
      <c r="F32" s="1189">
        <v>0</v>
      </c>
      <c r="G32" s="1188">
        <v>0</v>
      </c>
      <c r="H32" s="196">
        <f t="shared" si="2"/>
        <v>0</v>
      </c>
      <c r="I32" s="350"/>
      <c r="J32" s="298"/>
      <c r="K32" s="743"/>
      <c r="L32" s="743"/>
      <c r="M32" s="745"/>
    </row>
    <row r="33" spans="1:13">
      <c r="A33" s="235">
        <f t="shared" si="1"/>
        <v>115</v>
      </c>
      <c r="B33" s="234"/>
      <c r="C33" s="226" t="s">
        <v>154</v>
      </c>
      <c r="D33" s="232" t="s">
        <v>147</v>
      </c>
      <c r="E33" s="596">
        <v>0</v>
      </c>
      <c r="F33" s="1189">
        <v>0</v>
      </c>
      <c r="G33" s="1188">
        <v>0</v>
      </c>
      <c r="H33" s="196">
        <f t="shared" si="2"/>
        <v>0</v>
      </c>
      <c r="I33" s="350"/>
      <c r="J33" s="298"/>
      <c r="K33" s="743"/>
      <c r="L33" s="743"/>
      <c r="M33" s="745"/>
    </row>
    <row r="34" spans="1:13">
      <c r="A34" s="235">
        <f t="shared" si="1"/>
        <v>116</v>
      </c>
      <c r="B34" s="234"/>
      <c r="C34" s="246" t="s">
        <v>134</v>
      </c>
      <c r="D34" s="232" t="s">
        <v>147</v>
      </c>
      <c r="E34" s="596">
        <v>0</v>
      </c>
      <c r="F34" s="1189">
        <v>0</v>
      </c>
      <c r="G34" s="1188">
        <v>0</v>
      </c>
      <c r="H34" s="196">
        <f t="shared" si="2"/>
        <v>0</v>
      </c>
      <c r="I34" s="350"/>
      <c r="J34" s="298"/>
      <c r="K34" s="743"/>
      <c r="L34" s="743"/>
      <c r="M34" s="745"/>
    </row>
    <row r="35" spans="1:13">
      <c r="A35" s="235">
        <f t="shared" si="1"/>
        <v>117</v>
      </c>
      <c r="B35" s="234"/>
      <c r="C35" s="226" t="s">
        <v>131</v>
      </c>
      <c r="D35" s="232" t="s">
        <v>147</v>
      </c>
      <c r="E35" s="596">
        <v>0</v>
      </c>
      <c r="F35" s="1189">
        <v>0</v>
      </c>
      <c r="G35" s="1188">
        <v>0</v>
      </c>
      <c r="H35" s="196">
        <f t="shared" si="2"/>
        <v>0</v>
      </c>
      <c r="I35" s="350"/>
      <c r="J35" s="298"/>
      <c r="K35" s="743"/>
      <c r="L35" s="743"/>
      <c r="M35" s="745"/>
    </row>
    <row r="36" spans="1:13">
      <c r="A36" s="235">
        <f t="shared" si="1"/>
        <v>118</v>
      </c>
      <c r="B36" s="234"/>
      <c r="C36" s="226" t="s">
        <v>153</v>
      </c>
      <c r="D36" s="232" t="s">
        <v>147</v>
      </c>
      <c r="E36" s="596">
        <v>0</v>
      </c>
      <c r="F36" s="1189">
        <v>0</v>
      </c>
      <c r="G36" s="1188">
        <v>0</v>
      </c>
      <c r="H36" s="196">
        <f t="shared" si="2"/>
        <v>0</v>
      </c>
      <c r="I36" s="350"/>
      <c r="J36" s="298"/>
      <c r="K36" s="743"/>
      <c r="L36" s="743"/>
      <c r="M36" s="745"/>
    </row>
    <row r="37" spans="1:13">
      <c r="A37" s="235">
        <f t="shared" si="1"/>
        <v>119</v>
      </c>
      <c r="B37" s="234"/>
      <c r="C37" s="246" t="s">
        <v>152</v>
      </c>
      <c r="D37" s="232" t="s">
        <v>147</v>
      </c>
      <c r="E37" s="596">
        <v>0</v>
      </c>
      <c r="F37" s="1189">
        <v>0</v>
      </c>
      <c r="G37" s="1188">
        <v>0</v>
      </c>
      <c r="H37" s="196">
        <f t="shared" si="2"/>
        <v>0</v>
      </c>
      <c r="I37" s="350"/>
      <c r="J37" s="298"/>
      <c r="K37" s="743"/>
      <c r="L37" s="743"/>
      <c r="M37" s="745"/>
    </row>
    <row r="38" spans="1:13">
      <c r="A38" s="235">
        <f t="shared" si="1"/>
        <v>120</v>
      </c>
      <c r="B38" s="234"/>
      <c r="C38" s="226" t="s">
        <v>151</v>
      </c>
      <c r="D38" s="232" t="s">
        <v>147</v>
      </c>
      <c r="E38" s="596">
        <v>0</v>
      </c>
      <c r="F38" s="1189">
        <v>0</v>
      </c>
      <c r="G38" s="1188">
        <v>0</v>
      </c>
      <c r="H38" s="196">
        <f t="shared" si="2"/>
        <v>0</v>
      </c>
      <c r="I38" s="350"/>
      <c r="J38" s="298"/>
      <c r="K38" s="743"/>
      <c r="L38" s="743"/>
      <c r="M38" s="745"/>
    </row>
    <row r="39" spans="1:13">
      <c r="A39" s="235">
        <f t="shared" si="1"/>
        <v>121</v>
      </c>
      <c r="B39" s="234"/>
      <c r="C39" s="226" t="s">
        <v>150</v>
      </c>
      <c r="D39" s="232" t="s">
        <v>147</v>
      </c>
      <c r="E39" s="596">
        <v>0</v>
      </c>
      <c r="F39" s="1189">
        <v>0</v>
      </c>
      <c r="G39" s="1188">
        <v>0</v>
      </c>
      <c r="H39" s="196">
        <f t="shared" si="2"/>
        <v>0</v>
      </c>
      <c r="I39" s="350"/>
      <c r="J39" s="298"/>
      <c r="K39" s="743"/>
      <c r="L39" s="743"/>
      <c r="M39" s="745"/>
    </row>
    <row r="40" spans="1:13">
      <c r="A40" s="235">
        <f t="shared" si="1"/>
        <v>122</v>
      </c>
      <c r="B40" s="234"/>
      <c r="C40" s="246" t="s">
        <v>149</v>
      </c>
      <c r="D40" s="232" t="s">
        <v>147</v>
      </c>
      <c r="E40" s="596">
        <v>0</v>
      </c>
      <c r="F40" s="1189">
        <v>0</v>
      </c>
      <c r="G40" s="1188">
        <v>0</v>
      </c>
      <c r="H40" s="196">
        <f t="shared" si="2"/>
        <v>0</v>
      </c>
      <c r="I40" s="350"/>
      <c r="J40" s="298"/>
      <c r="K40" s="743"/>
      <c r="L40" s="743"/>
      <c r="M40" s="745"/>
    </row>
    <row r="41" spans="1:13">
      <c r="A41" s="235">
        <f t="shared" si="1"/>
        <v>123</v>
      </c>
      <c r="B41" s="234"/>
      <c r="C41" s="246" t="s">
        <v>148</v>
      </c>
      <c r="D41" s="232" t="s">
        <v>147</v>
      </c>
      <c r="E41" s="596">
        <v>0</v>
      </c>
      <c r="F41" s="1189">
        <v>0</v>
      </c>
      <c r="G41" s="1188">
        <v>0</v>
      </c>
      <c r="H41" s="196">
        <f t="shared" si="2"/>
        <v>0</v>
      </c>
      <c r="I41" s="350"/>
      <c r="J41" s="298"/>
      <c r="K41" s="743"/>
      <c r="L41" s="743"/>
      <c r="M41" s="745"/>
    </row>
    <row r="42" spans="1:13">
      <c r="A42" s="235">
        <f t="shared" si="1"/>
        <v>124</v>
      </c>
      <c r="B42" s="234"/>
      <c r="C42" s="223" t="s">
        <v>146</v>
      </c>
      <c r="D42" s="716" t="s">
        <v>251</v>
      </c>
      <c r="E42" s="597">
        <v>0</v>
      </c>
      <c r="F42" s="1191">
        <v>0</v>
      </c>
      <c r="G42" s="1190">
        <v>0</v>
      </c>
      <c r="H42" s="1473">
        <f t="shared" si="2"/>
        <v>0</v>
      </c>
      <c r="I42" s="350"/>
      <c r="J42" s="298"/>
      <c r="K42" s="743"/>
      <c r="L42" s="743"/>
      <c r="M42" s="745"/>
    </row>
    <row r="43" spans="1:13">
      <c r="A43" s="235">
        <f t="shared" si="1"/>
        <v>125</v>
      </c>
      <c r="B43" s="234"/>
      <c r="C43" s="257" t="s">
        <v>198</v>
      </c>
      <c r="D43" s="213" t="str">
        <f>"(sum lines "&amp;A30&amp;"-"&amp;A42&amp;") /13"</f>
        <v>(sum lines 112-124) /13</v>
      </c>
      <c r="E43" s="255"/>
      <c r="F43" s="215">
        <f>SUM(F30:F42)/13</f>
        <v>0</v>
      </c>
      <c r="G43" s="327">
        <f>SUM(G30:G42)/13</f>
        <v>0</v>
      </c>
      <c r="H43" s="215">
        <f>SUM(H30:H42)/13</f>
        <v>0</v>
      </c>
      <c r="I43" s="350"/>
      <c r="J43" s="298"/>
      <c r="K43" s="743"/>
      <c r="L43" s="743"/>
      <c r="M43" s="745"/>
    </row>
    <row r="44" spans="1:13">
      <c r="A44" s="235"/>
      <c r="B44" s="234"/>
      <c r="C44" s="257"/>
      <c r="D44" s="213"/>
      <c r="E44" s="255"/>
      <c r="F44" s="215"/>
      <c r="G44" s="327"/>
      <c r="H44" s="215"/>
      <c r="I44" s="350"/>
      <c r="J44" s="298"/>
      <c r="K44" s="1346"/>
      <c r="L44" s="1346"/>
      <c r="M44" s="1347"/>
    </row>
    <row r="45" spans="1:13" ht="15.75" thickBot="1">
      <c r="A45" s="244"/>
      <c r="B45" s="243"/>
      <c r="C45" s="1458" t="s">
        <v>1020</v>
      </c>
      <c r="D45" s="764"/>
      <c r="E45" s="289"/>
      <c r="F45" s="205"/>
      <c r="G45" s="765"/>
      <c r="H45" s="302"/>
      <c r="I45" s="295"/>
      <c r="J45" s="766"/>
      <c r="K45" s="767"/>
      <c r="L45" s="767"/>
      <c r="M45" s="768"/>
    </row>
    <row r="46" spans="1:13">
      <c r="A46" s="235"/>
      <c r="B46" s="234"/>
      <c r="C46" s="257"/>
      <c r="D46" s="294"/>
      <c r="E46" s="226"/>
      <c r="F46" s="207"/>
      <c r="G46" s="202"/>
      <c r="H46" s="233"/>
      <c r="I46" s="299"/>
      <c r="J46" s="298"/>
      <c r="K46" s="297"/>
      <c r="L46" s="297"/>
      <c r="M46" s="296"/>
    </row>
    <row r="47" spans="1:13">
      <c r="A47" s="301"/>
      <c r="B47" s="300"/>
      <c r="C47" s="300"/>
      <c r="D47" s="300"/>
      <c r="E47" s="208"/>
      <c r="F47" s="430"/>
      <c r="G47" s="202"/>
      <c r="H47" s="233"/>
      <c r="I47" s="299"/>
      <c r="J47" s="298"/>
      <c r="K47" s="297"/>
      <c r="L47" s="297"/>
      <c r="M47" s="296"/>
    </row>
    <row r="48" spans="1:13" ht="13.5" thickBot="1">
      <c r="A48" s="206"/>
      <c r="B48" s="205"/>
      <c r="C48" s="205"/>
      <c r="D48" s="205"/>
      <c r="E48" s="205"/>
      <c r="F48" s="431"/>
      <c r="G48" s="242"/>
      <c r="H48" s="302"/>
      <c r="I48" s="295"/>
      <c r="J48" s="1535"/>
      <c r="K48" s="1535"/>
      <c r="L48" s="1535"/>
      <c r="M48" s="1536"/>
    </row>
    <row r="49" spans="1:13" ht="13.5" thickBot="1">
      <c r="A49" s="220" t="str">
        <f>+C51</f>
        <v>LAND HELD FOR FUTURE USE</v>
      </c>
    </row>
    <row r="50" spans="1:13" ht="50.25" customHeight="1">
      <c r="A50" s="1537" t="s">
        <v>498</v>
      </c>
      <c r="B50" s="1538"/>
      <c r="C50" s="1538"/>
      <c r="D50" s="1538"/>
      <c r="E50" s="1538"/>
      <c r="F50" s="1539"/>
      <c r="G50" s="267" t="s">
        <v>141</v>
      </c>
      <c r="H50" s="236" t="s">
        <v>140</v>
      </c>
      <c r="I50" s="236" t="s">
        <v>236</v>
      </c>
      <c r="J50" s="1540" t="s">
        <v>110</v>
      </c>
      <c r="K50" s="1541"/>
      <c r="L50" s="1541"/>
      <c r="M50" s="1542"/>
    </row>
    <row r="51" spans="1:13">
      <c r="A51" s="235">
        <f>+A43+1</f>
        <v>126</v>
      </c>
      <c r="B51" s="234"/>
      <c r="C51" s="257" t="str">
        <f>+'Appendix III'!C81</f>
        <v>LAND HELD FOR FUTURE USE</v>
      </c>
      <c r="D51" s="294"/>
      <c r="E51" s="226" t="s">
        <v>144</v>
      </c>
      <c r="F51" s="207" t="s">
        <v>21</v>
      </c>
      <c r="G51" s="264">
        <v>0</v>
      </c>
      <c r="H51" s="224">
        <v>0</v>
      </c>
      <c r="I51" s="299">
        <f>(+G51+H51)/2</f>
        <v>0</v>
      </c>
      <c r="J51" s="298"/>
      <c r="K51" s="297"/>
      <c r="L51" s="297"/>
      <c r="M51" s="296"/>
    </row>
    <row r="52" spans="1:13">
      <c r="A52" s="231"/>
      <c r="B52" s="300"/>
      <c r="C52" s="300"/>
      <c r="D52" s="300"/>
      <c r="E52" s="208"/>
      <c r="F52" s="430" t="s">
        <v>125</v>
      </c>
      <c r="G52" s="264">
        <v>0</v>
      </c>
      <c r="H52" s="224">
        <v>0</v>
      </c>
      <c r="I52" s="299"/>
      <c r="J52" s="298"/>
      <c r="K52" s="297"/>
      <c r="L52" s="297"/>
      <c r="M52" s="296"/>
    </row>
    <row r="53" spans="1:13" ht="15.75" thickBot="1">
      <c r="A53" s="206"/>
      <c r="B53" s="205"/>
      <c r="C53" s="1458" t="s">
        <v>1019</v>
      </c>
      <c r="D53" s="205"/>
      <c r="E53" s="205"/>
      <c r="F53" s="431" t="s">
        <v>111</v>
      </c>
      <c r="G53" s="261">
        <v>0</v>
      </c>
      <c r="H53" s="260">
        <v>0</v>
      </c>
      <c r="I53" s="295">
        <f>+(G53+H53)/2</f>
        <v>0</v>
      </c>
      <c r="J53" s="1535"/>
      <c r="K53" s="1535"/>
      <c r="L53" s="1535"/>
      <c r="M53" s="1536"/>
    </row>
    <row r="54" spans="1:13">
      <c r="A54" s="234"/>
      <c r="B54" s="234"/>
      <c r="C54" s="257"/>
      <c r="D54" s="294"/>
      <c r="E54" s="269"/>
      <c r="F54" s="226"/>
      <c r="G54" s="214"/>
      <c r="H54" s="214"/>
      <c r="I54" s="214"/>
      <c r="J54" s="212"/>
      <c r="K54" s="212"/>
      <c r="L54" s="212"/>
      <c r="M54" s="212"/>
    </row>
    <row r="55" spans="1:13" ht="12" customHeight="1"/>
    <row r="56" spans="1:13" ht="13.5" thickBot="1">
      <c r="A56" s="220" t="s">
        <v>321</v>
      </c>
    </row>
    <row r="57" spans="1:13">
      <c r="A57" s="1537"/>
      <c r="B57" s="1538"/>
      <c r="C57" s="1538"/>
      <c r="D57" s="1538"/>
      <c r="E57" s="1538"/>
      <c r="F57" s="1538"/>
      <c r="G57" s="236"/>
      <c r="H57" s="236"/>
      <c r="I57" s="236"/>
      <c r="J57" s="1540"/>
      <c r="K57" s="1543"/>
      <c r="L57" s="1543"/>
      <c r="M57" s="1544"/>
    </row>
    <row r="58" spans="1:13" ht="25.5">
      <c r="A58" s="235">
        <f>+A51+1</f>
        <v>127</v>
      </c>
      <c r="B58" s="276"/>
      <c r="C58" s="232" t="s">
        <v>322</v>
      </c>
      <c r="D58" s="232"/>
      <c r="E58" s="661" t="s">
        <v>18</v>
      </c>
      <c r="F58" s="661" t="s">
        <v>328</v>
      </c>
      <c r="G58" s="212" t="s">
        <v>327</v>
      </c>
      <c r="H58" s="229" t="s">
        <v>329</v>
      </c>
      <c r="I58" s="229"/>
      <c r="J58" s="1545"/>
      <c r="K58" s="1546"/>
      <c r="L58" s="1546"/>
      <c r="M58" s="1547"/>
    </row>
    <row r="59" spans="1:13" ht="15">
      <c r="A59" s="235"/>
      <c r="B59" s="390"/>
      <c r="C59" s="391"/>
      <c r="D59" s="708" t="s">
        <v>323</v>
      </c>
      <c r="E59" s="710">
        <v>0</v>
      </c>
      <c r="F59" s="672">
        <v>0</v>
      </c>
      <c r="G59" s="672"/>
      <c r="H59" s="664">
        <f>+G59*F59*E59</f>
        <v>0</v>
      </c>
      <c r="I59" s="391"/>
      <c r="J59" s="390"/>
      <c r="K59" s="391"/>
      <c r="L59" s="391"/>
      <c r="M59" s="395"/>
    </row>
    <row r="60" spans="1:13" ht="15">
      <c r="A60" s="235"/>
      <c r="B60" s="390"/>
      <c r="C60" s="665"/>
      <c r="D60" s="708" t="s">
        <v>324</v>
      </c>
      <c r="E60" s="674">
        <v>0</v>
      </c>
      <c r="F60" s="672">
        <v>0</v>
      </c>
      <c r="G60" s="672"/>
      <c r="H60" s="664">
        <f>+G60*F60*E60</f>
        <v>0</v>
      </c>
      <c r="I60" s="391"/>
      <c r="J60" s="390"/>
      <c r="K60" s="391"/>
      <c r="L60" s="391"/>
      <c r="M60" s="395"/>
    </row>
    <row r="61" spans="1:13" ht="15">
      <c r="A61" s="235"/>
      <c r="B61" s="390"/>
      <c r="C61" s="665"/>
      <c r="D61" s="708" t="s">
        <v>325</v>
      </c>
      <c r="E61" s="674"/>
      <c r="F61" s="672"/>
      <c r="G61" s="672"/>
      <c r="H61" s="664"/>
      <c r="I61" s="391"/>
      <c r="J61" s="390"/>
      <c r="K61" s="391"/>
      <c r="L61" s="391"/>
      <c r="M61" s="395"/>
    </row>
    <row r="62" spans="1:13" ht="15">
      <c r="A62" s="235"/>
      <c r="B62" s="390"/>
      <c r="C62" s="665"/>
      <c r="D62" s="708" t="s">
        <v>381</v>
      </c>
      <c r="E62" s="674"/>
      <c r="F62" s="672"/>
      <c r="G62" s="672"/>
      <c r="H62" s="664"/>
      <c r="I62" s="391"/>
      <c r="J62" s="390"/>
      <c r="K62" s="391"/>
      <c r="L62" s="391"/>
      <c r="M62" s="395"/>
    </row>
    <row r="63" spans="1:13" ht="15">
      <c r="A63" s="235"/>
      <c r="B63" s="390"/>
      <c r="C63" s="665"/>
      <c r="D63" s="708" t="s">
        <v>382</v>
      </c>
      <c r="E63" s="674"/>
      <c r="F63" s="672"/>
      <c r="G63" s="672"/>
      <c r="H63" s="664"/>
      <c r="I63" s="391"/>
      <c r="J63" s="390"/>
      <c r="K63" s="391"/>
      <c r="L63" s="391"/>
      <c r="M63" s="395"/>
    </row>
    <row r="64" spans="1:13" ht="15">
      <c r="A64" s="235"/>
      <c r="B64" s="390"/>
      <c r="C64" s="665"/>
      <c r="D64" s="709" t="s">
        <v>382</v>
      </c>
      <c r="E64" s="711">
        <v>0</v>
      </c>
      <c r="F64" s="712">
        <v>0</v>
      </c>
      <c r="G64" s="672"/>
      <c r="H64" s="664">
        <f>+G64*F64*E64</f>
        <v>0</v>
      </c>
      <c r="I64" s="391"/>
      <c r="J64" s="390"/>
      <c r="K64" s="391"/>
      <c r="L64" s="391"/>
      <c r="M64" s="395"/>
    </row>
    <row r="65" spans="1:13" ht="15">
      <c r="A65" s="235"/>
      <c r="B65" s="390"/>
      <c r="C65" s="665"/>
      <c r="D65" s="232" t="s">
        <v>21</v>
      </c>
      <c r="E65" s="666">
        <f>SUM(E59:E64)</f>
        <v>0</v>
      </c>
      <c r="F65" s="662"/>
      <c r="G65" s="663"/>
      <c r="H65" s="664">
        <f>SUM(H59:H64)</f>
        <v>0</v>
      </c>
      <c r="I65" s="391"/>
      <c r="J65" s="390"/>
      <c r="K65" s="391"/>
      <c r="L65" s="391"/>
      <c r="M65" s="395"/>
    </row>
    <row r="66" spans="1:13" ht="15">
      <c r="A66" s="235"/>
      <c r="B66" s="390"/>
      <c r="C66" s="665"/>
      <c r="D66" s="232"/>
      <c r="E66" s="229"/>
      <c r="F66" s="394"/>
      <c r="G66" s="663"/>
      <c r="H66" s="664"/>
      <c r="I66" s="391"/>
      <c r="J66" s="390"/>
      <c r="K66" s="391"/>
      <c r="L66" s="391"/>
      <c r="M66" s="395"/>
    </row>
    <row r="67" spans="1:13" ht="15.75">
      <c r="A67" s="235"/>
      <c r="B67" s="390"/>
      <c r="C67" s="667" t="s">
        <v>363</v>
      </c>
      <c r="D67" s="668"/>
      <c r="E67" s="387"/>
      <c r="F67" s="669"/>
      <c r="G67" s="670"/>
      <c r="H67" s="671"/>
      <c r="I67" s="391"/>
      <c r="J67" s="390"/>
      <c r="K67" s="391"/>
      <c r="L67" s="391"/>
      <c r="M67" s="395"/>
    </row>
    <row r="68" spans="1:13" ht="15.75">
      <c r="A68" s="235"/>
      <c r="B68" s="390"/>
      <c r="C68" s="667" t="s">
        <v>380</v>
      </c>
      <c r="D68" s="668"/>
      <c r="E68" s="387"/>
      <c r="F68" s="669"/>
      <c r="G68" s="670"/>
      <c r="H68" s="671"/>
      <c r="I68" s="391"/>
      <c r="J68" s="390"/>
      <c r="K68" s="391"/>
      <c r="L68" s="391"/>
      <c r="M68" s="395"/>
    </row>
    <row r="69" spans="1:13" ht="15.75">
      <c r="A69" s="235"/>
      <c r="B69" s="390"/>
      <c r="C69" s="667" t="s">
        <v>364</v>
      </c>
      <c r="D69" s="668"/>
      <c r="E69" s="387"/>
      <c r="F69" s="669"/>
      <c r="G69" s="670"/>
      <c r="H69" s="671"/>
      <c r="I69" s="391"/>
      <c r="J69" s="390"/>
      <c r="K69" s="391"/>
      <c r="L69" s="391"/>
      <c r="M69" s="395"/>
    </row>
    <row r="70" spans="1:13" ht="15.75">
      <c r="A70" s="235"/>
      <c r="B70" s="390"/>
      <c r="C70" s="667" t="s">
        <v>1018</v>
      </c>
      <c r="D70" s="668"/>
      <c r="E70" s="387"/>
      <c r="F70" s="669"/>
      <c r="G70" s="670"/>
      <c r="H70" s="671"/>
      <c r="I70" s="391"/>
      <c r="J70" s="390"/>
      <c r="K70" s="391"/>
      <c r="L70" s="391"/>
      <c r="M70" s="395"/>
    </row>
    <row r="71" spans="1:13" ht="13.5" thickBot="1">
      <c r="A71" s="234"/>
      <c r="B71" s="391"/>
      <c r="C71" s="226"/>
      <c r="D71" s="391"/>
      <c r="E71" s="188"/>
      <c r="F71" s="414"/>
      <c r="G71" s="427"/>
      <c r="H71" s="427"/>
      <c r="I71" s="391"/>
      <c r="J71" s="391"/>
      <c r="K71" s="391"/>
      <c r="L71" s="391"/>
      <c r="M71" s="391"/>
    </row>
    <row r="72" spans="1:13">
      <c r="A72" s="605" t="s">
        <v>129</v>
      </c>
      <c r="B72" s="606"/>
      <c r="C72" s="606"/>
      <c r="D72" s="606"/>
      <c r="E72" s="606"/>
      <c r="F72" s="606"/>
      <c r="G72" s="606"/>
      <c r="H72" s="606"/>
      <c r="I72" s="606"/>
      <c r="J72" s="606"/>
      <c r="K72" s="606"/>
      <c r="L72" s="606"/>
      <c r="M72" s="607"/>
    </row>
    <row r="73" spans="1:13">
      <c r="A73" s="1548" t="s">
        <v>498</v>
      </c>
      <c r="B73" s="1549"/>
      <c r="C73" s="1549"/>
      <c r="D73" s="1549"/>
      <c r="E73" s="1549"/>
      <c r="F73" s="1549"/>
      <c r="G73" s="602"/>
      <c r="H73" s="602"/>
      <c r="I73" s="602"/>
      <c r="J73" s="1550" t="s">
        <v>110</v>
      </c>
      <c r="K73" s="1524"/>
      <c r="L73" s="1524"/>
      <c r="M73" s="1551"/>
    </row>
    <row r="74" spans="1:13">
      <c r="A74" s="235"/>
      <c r="B74" s="276" t="s">
        <v>127</v>
      </c>
      <c r="C74" s="232"/>
      <c r="D74" s="232"/>
      <c r="E74" s="293"/>
      <c r="F74" s="232"/>
      <c r="G74" s="208"/>
      <c r="H74" s="208"/>
      <c r="I74" s="208"/>
      <c r="J74" s="1545"/>
      <c r="K74" s="1546"/>
      <c r="L74" s="1546"/>
      <c r="M74" s="1547"/>
    </row>
    <row r="75" spans="1:13" ht="15">
      <c r="A75" s="235"/>
      <c r="B75" s="390"/>
      <c r="C75" s="391"/>
      <c r="D75" s="392" t="s">
        <v>8</v>
      </c>
      <c r="E75" s="393" t="s">
        <v>128</v>
      </c>
      <c r="F75" s="230"/>
      <c r="G75" s="230" t="s">
        <v>964</v>
      </c>
      <c r="H75" s="212"/>
      <c r="I75" s="391"/>
      <c r="J75" s="390"/>
      <c r="K75" s="391"/>
      <c r="L75" s="391"/>
      <c r="M75" s="395"/>
    </row>
    <row r="76" spans="1:13" ht="15">
      <c r="A76" s="235">
        <f>+A58+1</f>
        <v>128</v>
      </c>
      <c r="B76" s="390"/>
      <c r="C76" s="226" t="s">
        <v>1004</v>
      </c>
      <c r="D76" s="391"/>
      <c r="E76" s="226" t="s">
        <v>448</v>
      </c>
      <c r="F76" s="226"/>
      <c r="G76" s="617"/>
      <c r="H76" s="603"/>
      <c r="I76" s="391"/>
      <c r="J76" s="390"/>
      <c r="K76" s="391"/>
      <c r="L76" s="391"/>
      <c r="M76" s="395"/>
    </row>
    <row r="77" spans="1:13" ht="15">
      <c r="A77" s="235"/>
      <c r="B77" s="390"/>
      <c r="C77" s="414"/>
      <c r="D77" s="391"/>
      <c r="E77" s="414"/>
      <c r="F77" s="226"/>
      <c r="G77" s="427"/>
      <c r="H77" s="603"/>
      <c r="I77" s="391"/>
      <c r="J77" s="390"/>
      <c r="K77" s="391"/>
      <c r="L77" s="391"/>
      <c r="M77" s="395"/>
    </row>
    <row r="78" spans="1:13" ht="15">
      <c r="A78" s="235" t="s">
        <v>1005</v>
      </c>
      <c r="B78" s="391"/>
      <c r="C78" s="613" t="s">
        <v>1006</v>
      </c>
      <c r="D78" s="229"/>
      <c r="E78" s="229"/>
      <c r="F78" s="229"/>
      <c r="G78" s="719"/>
      <c r="H78" s="229"/>
      <c r="I78" s="391"/>
      <c r="J78" s="391"/>
      <c r="K78" s="391"/>
      <c r="L78" s="391"/>
      <c r="M78" s="395"/>
    </row>
    <row r="79" spans="1:13" ht="15">
      <c r="A79" s="235"/>
      <c r="B79" s="391"/>
      <c r="C79" s="1427"/>
      <c r="D79" s="229"/>
      <c r="E79" s="229"/>
      <c r="F79" s="229"/>
      <c r="G79" s="719"/>
      <c r="H79" s="229"/>
      <c r="I79" s="391"/>
      <c r="J79" s="391"/>
      <c r="K79" s="391"/>
      <c r="L79" s="391"/>
      <c r="M79" s="395"/>
    </row>
    <row r="80" spans="1:13" ht="15">
      <c r="A80" s="235"/>
      <c r="B80" s="391"/>
      <c r="C80" s="1427"/>
      <c r="D80" s="229"/>
      <c r="E80" s="229"/>
      <c r="F80" s="229"/>
      <c r="G80" s="719"/>
      <c r="H80" s="229"/>
      <c r="I80" s="391"/>
      <c r="J80" s="391"/>
      <c r="K80" s="391"/>
      <c r="L80" s="391"/>
      <c r="M80" s="395"/>
    </row>
    <row r="81" spans="1:13" ht="15">
      <c r="A81" s="235"/>
      <c r="B81" s="391"/>
      <c r="C81" s="1427"/>
      <c r="D81" s="229"/>
      <c r="E81" s="229"/>
      <c r="F81" s="229"/>
      <c r="G81" s="719"/>
      <c r="H81" s="229"/>
      <c r="I81" s="391"/>
      <c r="J81" s="391"/>
      <c r="K81" s="391"/>
      <c r="L81" s="391"/>
      <c r="M81" s="395"/>
    </row>
    <row r="82" spans="1:13" ht="15">
      <c r="A82" s="235"/>
      <c r="B82" s="391"/>
      <c r="C82" s="1427"/>
      <c r="D82" s="229"/>
      <c r="E82" s="229"/>
      <c r="F82" s="229"/>
      <c r="G82" s="719"/>
      <c r="H82" s="229"/>
      <c r="I82" s="391"/>
      <c r="J82" s="391"/>
      <c r="K82" s="391"/>
      <c r="L82" s="391"/>
      <c r="M82" s="395"/>
    </row>
    <row r="83" spans="1:13" ht="15.75" thickBot="1">
      <c r="A83" s="206"/>
      <c r="B83" s="205"/>
      <c r="C83" s="614"/>
      <c r="D83" s="221"/>
      <c r="E83" s="221"/>
      <c r="F83" s="221"/>
      <c r="G83" s="221"/>
      <c r="H83" s="221"/>
      <c r="I83" s="221"/>
      <c r="J83" s="221"/>
      <c r="K83" s="205"/>
      <c r="L83" s="205"/>
      <c r="M83" s="204"/>
    </row>
    <row r="84" spans="1:13" s="188" customFormat="1" ht="15">
      <c r="A84" s="265"/>
      <c r="C84" s="604"/>
    </row>
    <row r="85" spans="1:13" s="608" customFormat="1" ht="13.5" thickBot="1">
      <c r="A85" s="611" t="s">
        <v>126</v>
      </c>
      <c r="B85" s="612"/>
      <c r="C85" s="612"/>
      <c r="D85" s="612"/>
      <c r="E85" s="612"/>
      <c r="F85" s="612"/>
      <c r="G85" s="612"/>
      <c r="H85" s="612"/>
      <c r="I85" s="612"/>
      <c r="J85" s="612"/>
      <c r="K85" s="612"/>
      <c r="L85" s="612"/>
      <c r="M85" s="612"/>
    </row>
    <row r="86" spans="1:13" s="608" customFormat="1" ht="25.5">
      <c r="A86" s="1552" t="s">
        <v>498</v>
      </c>
      <c r="B86" s="1553"/>
      <c r="C86" s="1553"/>
      <c r="D86" s="1553"/>
      <c r="E86" s="1553"/>
      <c r="F86" s="1553"/>
      <c r="G86" s="609" t="s">
        <v>118</v>
      </c>
      <c r="H86" s="313" t="s">
        <v>111</v>
      </c>
      <c r="I86" s="313" t="s">
        <v>125</v>
      </c>
      <c r="J86" s="1554" t="s">
        <v>368</v>
      </c>
      <c r="K86" s="1555"/>
      <c r="L86" s="1555"/>
      <c r="M86" s="1556"/>
    </row>
    <row r="87" spans="1:13" s="608" customFormat="1">
      <c r="A87" s="235"/>
      <c r="B87" s="276" t="s">
        <v>116</v>
      </c>
      <c r="C87" s="246"/>
      <c r="D87" s="232"/>
      <c r="E87" s="255"/>
      <c r="F87" s="246"/>
      <c r="G87" s="187"/>
      <c r="H87" s="610"/>
      <c r="I87" s="272"/>
      <c r="J87" s="229"/>
      <c r="K87" s="229"/>
      <c r="L87" s="229"/>
      <c r="M87" s="228"/>
    </row>
    <row r="88" spans="1:13" s="608" customFormat="1" ht="15">
      <c r="A88" s="235"/>
      <c r="B88" s="276"/>
      <c r="C88" s="246"/>
      <c r="D88" s="232"/>
      <c r="E88" s="255"/>
      <c r="F88" s="246"/>
      <c r="G88" s="187"/>
      <c r="H88" s="610"/>
      <c r="I88" s="272"/>
      <c r="J88" s="620"/>
      <c r="K88" s="229"/>
      <c r="L88" s="229"/>
      <c r="M88" s="228"/>
    </row>
    <row r="89" spans="1:13" s="608" customFormat="1">
      <c r="A89" s="235">
        <f>+A76+1</f>
        <v>129</v>
      </c>
      <c r="B89" s="621"/>
      <c r="C89" s="226" t="s">
        <v>192</v>
      </c>
      <c r="D89" s="622"/>
      <c r="E89" s="269"/>
      <c r="F89" s="226" t="s">
        <v>271</v>
      </c>
      <c r="G89" s="624"/>
      <c r="H89" s="623"/>
      <c r="I89" s="233">
        <f>+G89-H89</f>
        <v>0</v>
      </c>
      <c r="J89" s="229"/>
      <c r="K89" s="229"/>
      <c r="L89" s="229"/>
      <c r="M89" s="228"/>
    </row>
    <row r="90" spans="1:13" s="608" customFormat="1">
      <c r="A90" s="235"/>
      <c r="B90" s="276"/>
      <c r="C90" s="246"/>
      <c r="D90" s="232"/>
      <c r="E90" s="255"/>
      <c r="F90" s="246"/>
      <c r="G90" s="187"/>
      <c r="H90" s="610"/>
      <c r="I90" s="272"/>
      <c r="J90" s="229"/>
      <c r="K90" s="229"/>
      <c r="L90" s="229"/>
      <c r="M90" s="228"/>
    </row>
    <row r="91" spans="1:13" s="608" customFormat="1" ht="13.5" thickBot="1">
      <c r="A91" s="222"/>
      <c r="B91" s="221"/>
      <c r="C91" s="221"/>
      <c r="D91" s="221"/>
      <c r="E91" s="221"/>
      <c r="F91" s="221"/>
      <c r="G91" s="222" t="s">
        <v>369</v>
      </c>
      <c r="H91" s="221"/>
      <c r="I91" s="221"/>
      <c r="J91" s="1535"/>
      <c r="K91" s="1535"/>
      <c r="L91" s="1535"/>
      <c r="M91" s="1536"/>
    </row>
    <row r="94" spans="1:13" ht="13.5" thickBot="1">
      <c r="A94" s="220" t="s">
        <v>234</v>
      </c>
    </row>
    <row r="95" spans="1:13">
      <c r="A95" s="1537" t="s">
        <v>498</v>
      </c>
      <c r="B95" s="1538"/>
      <c r="C95" s="1538"/>
      <c r="D95" s="1538"/>
      <c r="E95" s="1538"/>
      <c r="F95" s="1539"/>
      <c r="G95" s="236" t="s">
        <v>124</v>
      </c>
      <c r="H95" s="236" t="s">
        <v>123</v>
      </c>
      <c r="I95" s="236" t="s">
        <v>122</v>
      </c>
      <c r="J95" s="236" t="s">
        <v>121</v>
      </c>
      <c r="K95" s="236" t="s">
        <v>120</v>
      </c>
      <c r="L95" s="1540" t="s">
        <v>237</v>
      </c>
      <c r="M95" s="1557"/>
    </row>
    <row r="96" spans="1:13">
      <c r="A96" s="288" t="s">
        <v>8</v>
      </c>
      <c r="B96" s="287" t="s">
        <v>119</v>
      </c>
      <c r="C96" s="213"/>
      <c r="D96" s="213"/>
      <c r="E96" s="214"/>
      <c r="F96" s="286"/>
      <c r="G96" s="208"/>
      <c r="H96" s="208"/>
      <c r="I96" s="208"/>
      <c r="J96" s="208"/>
      <c r="K96" s="208"/>
      <c r="L96" s="208"/>
      <c r="M96" s="207"/>
    </row>
    <row r="97" spans="1:13">
      <c r="A97" s="288"/>
      <c r="B97" s="287"/>
      <c r="C97" s="213"/>
      <c r="D97" s="213"/>
      <c r="E97" s="214"/>
      <c r="F97" s="286"/>
      <c r="G97" s="723"/>
      <c r="H97" s="285"/>
      <c r="I97" s="285"/>
      <c r="J97" s="285"/>
      <c r="K97" s="285"/>
      <c r="L97" s="272"/>
      <c r="M97" s="284"/>
    </row>
    <row r="98" spans="1:13">
      <c r="A98" s="288">
        <f>+A89+1</f>
        <v>130</v>
      </c>
      <c r="B98" s="287"/>
      <c r="C98" s="446" t="s">
        <v>137</v>
      </c>
      <c r="D98" s="213"/>
      <c r="E98" s="214"/>
      <c r="F98" s="286"/>
      <c r="G98" s="1505">
        <v>8.8400000000000006E-2</v>
      </c>
      <c r="H98" s="447"/>
      <c r="I98" s="448"/>
      <c r="J98" s="448"/>
      <c r="K98" s="433"/>
      <c r="L98" s="855">
        <f>+G98</f>
        <v>8.8400000000000006E-2</v>
      </c>
      <c r="M98" s="284"/>
    </row>
    <row r="99" spans="1:13" ht="13.5" thickBot="1">
      <c r="A99" s="271"/>
      <c r="B99" s="283"/>
      <c r="C99" s="205" t="s">
        <v>303</v>
      </c>
      <c r="D99" s="282"/>
      <c r="E99" s="279"/>
      <c r="F99" s="281"/>
      <c r="G99" s="205"/>
      <c r="H99" s="205"/>
      <c r="I99" s="205"/>
      <c r="J99" s="205"/>
      <c r="K99" s="205"/>
      <c r="L99" s="205"/>
      <c r="M99" s="280"/>
    </row>
    <row r="101" spans="1:13" ht="13.5" thickBot="1">
      <c r="A101" s="616" t="s">
        <v>367</v>
      </c>
      <c r="B101" s="409"/>
      <c r="C101" s="409"/>
      <c r="D101" s="409"/>
      <c r="E101" s="409"/>
      <c r="F101" s="409"/>
      <c r="G101" s="409"/>
      <c r="H101" s="409"/>
      <c r="I101" s="409"/>
      <c r="J101" s="409"/>
      <c r="K101" s="409"/>
      <c r="L101" s="409"/>
      <c r="M101" s="409"/>
    </row>
    <row r="102" spans="1:13" ht="78.75" customHeight="1">
      <c r="A102" s="1565" t="s">
        <v>498</v>
      </c>
      <c r="B102" s="1566"/>
      <c r="C102" s="1566"/>
      <c r="D102" s="1566"/>
      <c r="E102" s="1566"/>
      <c r="F102" s="1567"/>
      <c r="G102" s="396" t="s">
        <v>118</v>
      </c>
      <c r="H102" s="397" t="s">
        <v>366</v>
      </c>
      <c r="I102" s="397" t="s">
        <v>117</v>
      </c>
      <c r="J102" s="1568" t="s">
        <v>110</v>
      </c>
      <c r="K102" s="1568"/>
      <c r="L102" s="1568"/>
      <c r="M102" s="1569"/>
    </row>
    <row r="103" spans="1:13">
      <c r="A103" s="398"/>
      <c r="B103" s="276" t="s">
        <v>116</v>
      </c>
      <c r="C103" s="399"/>
      <c r="D103" s="400"/>
      <c r="E103" s="401"/>
      <c r="F103" s="400"/>
      <c r="G103" s="402"/>
      <c r="H103" s="399"/>
      <c r="I103" s="399"/>
      <c r="J103" s="399"/>
      <c r="K103" s="399"/>
      <c r="L103" s="399"/>
      <c r="M103" s="403"/>
    </row>
    <row r="104" spans="1:13" ht="13.5" thickBot="1">
      <c r="A104" s="404">
        <f>+A98+1</f>
        <v>131</v>
      </c>
      <c r="B104" s="405"/>
      <c r="C104" s="406" t="s">
        <v>193</v>
      </c>
      <c r="D104" s="407"/>
      <c r="E104" s="408"/>
      <c r="F104" s="406" t="s">
        <v>143</v>
      </c>
      <c r="G104" s="618"/>
      <c r="H104" s="619"/>
      <c r="I104" s="410">
        <f>G104-H104</f>
        <v>0</v>
      </c>
      <c r="J104" s="1570"/>
      <c r="K104" s="1570"/>
      <c r="L104" s="1570"/>
      <c r="M104" s="1571"/>
    </row>
    <row r="106" spans="1:13" ht="13.5" thickBot="1">
      <c r="A106" s="220" t="s">
        <v>115</v>
      </c>
    </row>
    <row r="107" spans="1:13" ht="38.25">
      <c r="A107" s="1537" t="s">
        <v>498</v>
      </c>
      <c r="B107" s="1538"/>
      <c r="C107" s="1538"/>
      <c r="D107" s="1538"/>
      <c r="E107" s="1538"/>
      <c r="F107" s="1538"/>
      <c r="G107" s="267" t="str">
        <f>+C109</f>
        <v>Excluded Transmission Facilities</v>
      </c>
      <c r="H107" s="1540" t="s">
        <v>114</v>
      </c>
      <c r="I107" s="1572"/>
      <c r="J107" s="1572"/>
      <c r="K107" s="1572"/>
      <c r="L107" s="1572"/>
      <c r="M107" s="1573"/>
    </row>
    <row r="108" spans="1:13">
      <c r="A108" s="278"/>
      <c r="B108" s="277" t="s">
        <v>113</v>
      </c>
      <c r="C108" s="276"/>
      <c r="D108" s="256"/>
      <c r="E108" s="275"/>
      <c r="F108" s="274"/>
      <c r="G108" s="273"/>
      <c r="H108" s="208"/>
      <c r="I108" s="208"/>
      <c r="J108" s="208"/>
      <c r="K108" s="208"/>
      <c r="L108" s="208"/>
      <c r="M108" s="207"/>
    </row>
    <row r="109" spans="1:13">
      <c r="A109" s="235">
        <f>+A104+1</f>
        <v>132</v>
      </c>
      <c r="B109" s="234"/>
      <c r="C109" s="226" t="s">
        <v>194</v>
      </c>
      <c r="D109" s="256"/>
      <c r="E109" s="269"/>
      <c r="F109" s="226"/>
      <c r="G109" s="968">
        <v>0</v>
      </c>
      <c r="H109" s="1545" t="s">
        <v>112</v>
      </c>
      <c r="I109" s="1546"/>
      <c r="J109" s="1546"/>
      <c r="K109" s="1546"/>
      <c r="L109" s="1546"/>
      <c r="M109" s="1547"/>
    </row>
    <row r="110" spans="1:13">
      <c r="A110" s="235"/>
      <c r="B110" s="234"/>
      <c r="C110" s="211"/>
      <c r="D110" s="256"/>
      <c r="E110" s="255"/>
      <c r="F110" s="253"/>
      <c r="G110" s="273"/>
      <c r="H110" s="208"/>
      <c r="I110" s="208"/>
      <c r="J110" s="208"/>
      <c r="K110" s="208"/>
      <c r="L110" s="208"/>
      <c r="M110" s="207"/>
    </row>
    <row r="111" spans="1:13" ht="13.5" thickBot="1">
      <c r="A111" s="206"/>
      <c r="B111" s="205"/>
      <c r="C111" s="205"/>
      <c r="D111" s="205"/>
      <c r="E111" s="205"/>
      <c r="F111" s="205"/>
      <c r="G111" s="271"/>
      <c r="H111" s="205"/>
      <c r="I111" s="205"/>
      <c r="J111" s="205"/>
      <c r="K111" s="270" t="s">
        <v>109</v>
      </c>
      <c r="L111" s="205"/>
      <c r="M111" s="204"/>
    </row>
    <row r="112" spans="1:13">
      <c r="A112" s="210"/>
      <c r="B112" s="208"/>
      <c r="C112" s="208"/>
      <c r="D112" s="208"/>
      <c r="E112" s="208"/>
      <c r="F112" s="208"/>
      <c r="G112" s="208"/>
      <c r="H112" s="208"/>
      <c r="I112" s="208"/>
      <c r="J112" s="208"/>
      <c r="K112" s="268"/>
      <c r="L112" s="208"/>
      <c r="M112" s="208"/>
    </row>
    <row r="113" spans="1:13">
      <c r="A113" s="234"/>
      <c r="B113" s="234"/>
      <c r="C113" s="234"/>
      <c r="D113" s="234"/>
      <c r="E113" s="269"/>
      <c r="F113" s="234"/>
      <c r="G113" s="208"/>
      <c r="H113" s="208"/>
      <c r="I113" s="208"/>
      <c r="J113" s="208"/>
      <c r="K113" s="268"/>
      <c r="L113" s="208"/>
      <c r="M113" s="208"/>
    </row>
    <row r="114" spans="1:13" ht="13.5" thickBot="1">
      <c r="A114" s="220" t="s">
        <v>142</v>
      </c>
      <c r="F114" s="205"/>
      <c r="G114" s="208"/>
      <c r="H114" s="208"/>
    </row>
    <row r="115" spans="1:13">
      <c r="A115" s="259" t="s">
        <v>498</v>
      </c>
      <c r="B115" s="816"/>
      <c r="C115" s="816"/>
      <c r="D115" s="258"/>
      <c r="E115" s="258"/>
      <c r="F115" s="258"/>
      <c r="G115" s="817"/>
      <c r="H115" s="817"/>
      <c r="I115" s="817"/>
      <c r="J115" s="817"/>
      <c r="K115" s="817"/>
      <c r="L115" s="817"/>
      <c r="M115" s="818"/>
    </row>
    <row r="116" spans="1:13">
      <c r="A116" s="187"/>
      <c r="B116" s="257"/>
      <c r="C116" s="351"/>
      <c r="D116" s="352"/>
      <c r="E116" s="208"/>
      <c r="F116" s="208"/>
      <c r="G116" s="291"/>
      <c r="H116" s="266"/>
      <c r="I116" s="253"/>
      <c r="J116" s="232"/>
      <c r="K116" s="252"/>
      <c r="L116" s="232"/>
      <c r="M116" s="251"/>
    </row>
    <row r="117" spans="1:13" s="188" customFormat="1" ht="31.5">
      <c r="A117" s="231"/>
      <c r="B117" s="229"/>
      <c r="C117" s="202" t="s">
        <v>476</v>
      </c>
      <c r="D117" s="229"/>
      <c r="E117" s="590" t="s">
        <v>139</v>
      </c>
      <c r="F117" s="590" t="s">
        <v>195</v>
      </c>
      <c r="G117" s="590" t="s">
        <v>469</v>
      </c>
      <c r="H117" s="590" t="s">
        <v>21</v>
      </c>
      <c r="I117" s="202"/>
      <c r="J117" s="250"/>
      <c r="K117" s="247"/>
      <c r="L117" s="814"/>
      <c r="M117" s="815"/>
    </row>
    <row r="118" spans="1:13" ht="17.25" customHeight="1">
      <c r="A118" s="235"/>
      <c r="B118" s="234"/>
      <c r="C118" s="208" t="s">
        <v>475</v>
      </c>
      <c r="D118" s="208"/>
      <c r="E118" s="825" t="s">
        <v>472</v>
      </c>
      <c r="F118" s="825" t="s">
        <v>473</v>
      </c>
      <c r="G118" s="825" t="s">
        <v>474</v>
      </c>
      <c r="H118" s="208"/>
      <c r="I118" s="202"/>
      <c r="J118" s="250"/>
      <c r="K118" s="247"/>
      <c r="L118" s="246"/>
      <c r="M118" s="245"/>
    </row>
    <row r="119" spans="1:13" ht="17.25" customHeight="1">
      <c r="A119" s="235">
        <f>+A109+1</f>
        <v>133</v>
      </c>
      <c r="B119" s="234"/>
      <c r="C119" s="208" t="s">
        <v>146</v>
      </c>
      <c r="D119" s="208" t="s">
        <v>470</v>
      </c>
      <c r="E119" s="822">
        <v>0</v>
      </c>
      <c r="F119" s="1207">
        <v>0</v>
      </c>
      <c r="G119" s="1207">
        <v>0</v>
      </c>
      <c r="H119" s="673">
        <f>+E119+F119+G119</f>
        <v>0</v>
      </c>
      <c r="I119" s="208"/>
      <c r="J119" s="250"/>
      <c r="K119" s="247"/>
      <c r="L119" s="246"/>
      <c r="M119" s="245"/>
    </row>
    <row r="120" spans="1:13" ht="17.25" customHeight="1">
      <c r="A120" s="235">
        <f>+A119+1</f>
        <v>134</v>
      </c>
      <c r="B120" s="234"/>
      <c r="C120" s="246" t="s">
        <v>156</v>
      </c>
      <c r="D120" s="208"/>
      <c r="E120" s="596">
        <v>0</v>
      </c>
      <c r="F120" s="1189">
        <v>0</v>
      </c>
      <c r="G120" s="1189">
        <v>0</v>
      </c>
      <c r="H120" s="673">
        <f t="shared" ref="H120:H131" si="3">+E120+F120+G120</f>
        <v>0</v>
      </c>
      <c r="I120" s="202"/>
      <c r="J120" s="250"/>
      <c r="K120" s="247"/>
      <c r="L120" s="246"/>
      <c r="M120" s="245"/>
    </row>
    <row r="121" spans="1:13" ht="17.25" customHeight="1">
      <c r="A121" s="235">
        <f t="shared" ref="A121:A131" si="4">+A120+1</f>
        <v>135</v>
      </c>
      <c r="B121" s="234"/>
      <c r="C121" s="226" t="s">
        <v>155</v>
      </c>
      <c r="D121" s="208"/>
      <c r="E121" s="596">
        <v>0</v>
      </c>
      <c r="F121" s="1189">
        <v>0</v>
      </c>
      <c r="G121" s="1189">
        <v>0</v>
      </c>
      <c r="H121" s="673">
        <f t="shared" si="3"/>
        <v>0</v>
      </c>
      <c r="I121" s="202"/>
      <c r="J121" s="250"/>
      <c r="K121" s="247"/>
      <c r="L121" s="246"/>
      <c r="M121" s="245"/>
    </row>
    <row r="122" spans="1:13" ht="17.25" customHeight="1">
      <c r="A122" s="235">
        <f t="shared" si="4"/>
        <v>136</v>
      </c>
      <c r="B122" s="234"/>
      <c r="C122" s="226" t="s">
        <v>154</v>
      </c>
      <c r="D122" s="208"/>
      <c r="E122" s="596">
        <v>0</v>
      </c>
      <c r="F122" s="1189">
        <v>0</v>
      </c>
      <c r="G122" s="1189">
        <v>0</v>
      </c>
      <c r="H122" s="673">
        <f t="shared" si="3"/>
        <v>0</v>
      </c>
      <c r="I122" s="202"/>
      <c r="J122" s="250"/>
      <c r="K122" s="247"/>
      <c r="L122" s="246"/>
      <c r="M122" s="245"/>
    </row>
    <row r="123" spans="1:13" ht="17.25" customHeight="1">
      <c r="A123" s="235">
        <f t="shared" si="4"/>
        <v>137</v>
      </c>
      <c r="B123" s="234"/>
      <c r="C123" s="246" t="s">
        <v>134</v>
      </c>
      <c r="D123" s="208"/>
      <c r="E123" s="596">
        <v>0</v>
      </c>
      <c r="F123" s="1189">
        <v>0</v>
      </c>
      <c r="G123" s="1189">
        <v>0</v>
      </c>
      <c r="H123" s="673">
        <f t="shared" si="3"/>
        <v>0</v>
      </c>
      <c r="I123" s="202"/>
      <c r="J123" s="250"/>
      <c r="K123" s="247"/>
      <c r="L123" s="246"/>
      <c r="M123" s="245"/>
    </row>
    <row r="124" spans="1:13" ht="17.25" customHeight="1">
      <c r="A124" s="235">
        <f t="shared" si="4"/>
        <v>138</v>
      </c>
      <c r="B124" s="234"/>
      <c r="C124" s="226" t="s">
        <v>131</v>
      </c>
      <c r="D124" s="208"/>
      <c r="E124" s="596">
        <v>0</v>
      </c>
      <c r="F124" s="1189">
        <v>0</v>
      </c>
      <c r="G124" s="1189">
        <v>0</v>
      </c>
      <c r="H124" s="673">
        <f t="shared" si="3"/>
        <v>0</v>
      </c>
      <c r="I124" s="202"/>
      <c r="J124" s="250"/>
      <c r="K124" s="247"/>
      <c r="L124" s="246"/>
      <c r="M124" s="245"/>
    </row>
    <row r="125" spans="1:13" ht="17.25" customHeight="1">
      <c r="A125" s="235">
        <f t="shared" si="4"/>
        <v>139</v>
      </c>
      <c r="B125" s="234"/>
      <c r="C125" s="226" t="s">
        <v>153</v>
      </c>
      <c r="D125" s="208"/>
      <c r="E125" s="596">
        <v>0</v>
      </c>
      <c r="F125" s="1189">
        <v>0</v>
      </c>
      <c r="G125" s="1189">
        <v>0</v>
      </c>
      <c r="H125" s="673">
        <f t="shared" si="3"/>
        <v>0</v>
      </c>
      <c r="I125" s="202"/>
      <c r="J125" s="250"/>
      <c r="K125" s="247"/>
      <c r="L125" s="246"/>
      <c r="M125" s="245"/>
    </row>
    <row r="126" spans="1:13" ht="17.25" customHeight="1">
      <c r="A126" s="235">
        <f t="shared" si="4"/>
        <v>140</v>
      </c>
      <c r="B126" s="234"/>
      <c r="C126" s="246" t="s">
        <v>152</v>
      </c>
      <c r="D126" s="208"/>
      <c r="E126" s="596">
        <v>0</v>
      </c>
      <c r="F126" s="1189">
        <v>0</v>
      </c>
      <c r="G126" s="1189">
        <v>0</v>
      </c>
      <c r="H126" s="673">
        <f t="shared" si="3"/>
        <v>0</v>
      </c>
      <c r="I126" s="202"/>
      <c r="J126" s="250"/>
      <c r="K126" s="247"/>
      <c r="L126" s="246"/>
      <c r="M126" s="245"/>
    </row>
    <row r="127" spans="1:13" ht="17.25" customHeight="1">
      <c r="A127" s="235">
        <f t="shared" si="4"/>
        <v>141</v>
      </c>
      <c r="B127" s="234"/>
      <c r="C127" s="226" t="s">
        <v>151</v>
      </c>
      <c r="D127" s="208"/>
      <c r="E127" s="596">
        <v>0</v>
      </c>
      <c r="F127" s="1189">
        <v>0</v>
      </c>
      <c r="G127" s="1189">
        <v>0</v>
      </c>
      <c r="H127" s="673">
        <f t="shared" si="3"/>
        <v>0</v>
      </c>
      <c r="I127" s="202"/>
      <c r="J127" s="250"/>
      <c r="K127" s="247"/>
      <c r="L127" s="246"/>
      <c r="M127" s="245"/>
    </row>
    <row r="128" spans="1:13" ht="17.25" customHeight="1">
      <c r="A128" s="235">
        <f t="shared" si="4"/>
        <v>142</v>
      </c>
      <c r="B128" s="234"/>
      <c r="C128" s="226" t="s">
        <v>150</v>
      </c>
      <c r="D128" s="208"/>
      <c r="E128" s="596">
        <v>0</v>
      </c>
      <c r="F128" s="1189">
        <v>0</v>
      </c>
      <c r="G128" s="1189">
        <v>0</v>
      </c>
      <c r="H128" s="673">
        <f t="shared" si="3"/>
        <v>0</v>
      </c>
      <c r="I128" s="202"/>
      <c r="J128" s="250"/>
      <c r="K128" s="247"/>
      <c r="L128" s="246"/>
      <c r="M128" s="245"/>
    </row>
    <row r="129" spans="1:13">
      <c r="A129" s="235">
        <f t="shared" si="4"/>
        <v>143</v>
      </c>
      <c r="B129" s="234"/>
      <c r="C129" s="246" t="s">
        <v>149</v>
      </c>
      <c r="D129" s="208"/>
      <c r="E129" s="596">
        <v>0</v>
      </c>
      <c r="F129" s="1189">
        <v>0</v>
      </c>
      <c r="G129" s="1189">
        <v>0</v>
      </c>
      <c r="H129" s="673">
        <f t="shared" si="3"/>
        <v>0</v>
      </c>
      <c r="I129" s="202"/>
      <c r="J129" s="250"/>
      <c r="K129" s="247"/>
      <c r="L129" s="246"/>
      <c r="M129" s="245"/>
    </row>
    <row r="130" spans="1:13" ht="17.25" customHeight="1">
      <c r="A130" s="235">
        <f t="shared" si="4"/>
        <v>144</v>
      </c>
      <c r="B130" s="234"/>
      <c r="C130" s="246" t="s">
        <v>148</v>
      </c>
      <c r="D130" s="208"/>
      <c r="E130" s="596">
        <v>0</v>
      </c>
      <c r="F130" s="1189">
        <v>0</v>
      </c>
      <c r="G130" s="1189">
        <v>0</v>
      </c>
      <c r="H130" s="673">
        <f t="shared" si="3"/>
        <v>0</v>
      </c>
      <c r="I130" s="202"/>
      <c r="J130" s="250"/>
      <c r="K130" s="247"/>
      <c r="L130" s="246"/>
      <c r="M130" s="245"/>
    </row>
    <row r="131" spans="1:13" ht="17.25" customHeight="1">
      <c r="A131" s="235">
        <f t="shared" si="4"/>
        <v>145</v>
      </c>
      <c r="B131" s="234"/>
      <c r="C131" s="226" t="s">
        <v>146</v>
      </c>
      <c r="D131" s="208" t="s">
        <v>471</v>
      </c>
      <c r="E131" s="596">
        <v>0</v>
      </c>
      <c r="F131" s="1189">
        <v>0</v>
      </c>
      <c r="G131" s="1189">
        <v>0</v>
      </c>
      <c r="H131" s="673">
        <f t="shared" si="3"/>
        <v>0</v>
      </c>
      <c r="I131" s="202"/>
      <c r="J131" s="250"/>
      <c r="K131" s="247"/>
      <c r="L131" s="229"/>
      <c r="M131" s="245"/>
    </row>
    <row r="132" spans="1:13" ht="17.25" customHeight="1">
      <c r="A132" s="235"/>
      <c r="B132" s="234"/>
      <c r="C132" s="226"/>
      <c r="D132" s="208"/>
      <c r="E132" s="598"/>
      <c r="F132" s="196"/>
      <c r="G132" s="196"/>
      <c r="H132" s="673"/>
      <c r="I132" s="202"/>
      <c r="J132" s="250"/>
      <c r="K132" s="247"/>
      <c r="L132" s="229"/>
      <c r="M132" s="245"/>
    </row>
    <row r="133" spans="1:13" ht="16.5" thickBot="1">
      <c r="A133" s="244">
        <f>+A131+1</f>
        <v>146</v>
      </c>
      <c r="B133" s="243"/>
      <c r="C133" s="824" t="s">
        <v>186</v>
      </c>
      <c r="D133" s="205"/>
      <c r="E133" s="1208"/>
      <c r="F133" s="1208"/>
      <c r="G133" s="205"/>
      <c r="H133" s="1209">
        <f>SUM(H119:H131)/13</f>
        <v>0</v>
      </c>
      <c r="I133" s="823"/>
      <c r="J133" s="756"/>
      <c r="K133" s="756"/>
      <c r="L133" s="819"/>
      <c r="M133" s="820"/>
    </row>
    <row r="134" spans="1:13" ht="15.75">
      <c r="A134" s="234"/>
      <c r="B134" s="234"/>
      <c r="C134" s="241"/>
      <c r="D134" s="240"/>
      <c r="E134" s="240"/>
      <c r="F134" s="240"/>
      <c r="G134" s="239"/>
      <c r="H134" s="237"/>
      <c r="I134" s="238"/>
      <c r="J134" s="237"/>
      <c r="K134" s="237"/>
      <c r="L134" s="212"/>
      <c r="M134" s="212"/>
    </row>
    <row r="135" spans="1:13" ht="13.5" thickBot="1">
      <c r="A135" s="220" t="s">
        <v>230</v>
      </c>
      <c r="B135" s="188"/>
      <c r="C135" s="188"/>
      <c r="D135" s="188"/>
      <c r="E135" s="188"/>
      <c r="F135" s="229"/>
      <c r="G135" s="229"/>
      <c r="H135" s="229"/>
      <c r="I135" s="188"/>
      <c r="J135" s="188"/>
      <c r="K135" s="188"/>
      <c r="L135" s="188"/>
      <c r="M135" s="188"/>
    </row>
    <row r="136" spans="1:13">
      <c r="A136" s="259" t="s">
        <v>498</v>
      </c>
      <c r="B136" s="816"/>
      <c r="C136" s="816"/>
      <c r="D136" s="258"/>
      <c r="E136" s="258"/>
      <c r="F136" s="258"/>
      <c r="G136" s="817"/>
      <c r="H136" s="817"/>
      <c r="I136" s="817"/>
      <c r="J136" s="817"/>
      <c r="K136" s="817"/>
      <c r="L136" s="817"/>
      <c r="M136" s="818"/>
    </row>
    <row r="137" spans="1:13">
      <c r="A137" s="187"/>
      <c r="B137" s="257"/>
      <c r="C137" s="256"/>
      <c r="D137" s="229"/>
      <c r="E137" s="719" t="s">
        <v>1092</v>
      </c>
      <c r="F137" s="719" t="s">
        <v>395</v>
      </c>
      <c r="G137" s="719" t="s">
        <v>395</v>
      </c>
      <c r="H137" s="254" t="s">
        <v>21</v>
      </c>
      <c r="I137" s="253"/>
      <c r="J137" s="232"/>
      <c r="K137" s="252"/>
      <c r="L137" s="232"/>
      <c r="M137" s="251"/>
    </row>
    <row r="138" spans="1:13">
      <c r="A138" s="231">
        <f>+A133+1</f>
        <v>147</v>
      </c>
      <c r="B138" s="229"/>
      <c r="C138" s="229" t="s">
        <v>232</v>
      </c>
      <c r="D138" s="229" t="s">
        <v>994</v>
      </c>
      <c r="E138" s="674">
        <v>1974684</v>
      </c>
      <c r="F138" s="428">
        <v>0</v>
      </c>
      <c r="G138" s="428">
        <v>0</v>
      </c>
      <c r="H138" s="227">
        <f>SUM(E138:G138)</f>
        <v>1974684</v>
      </c>
      <c r="I138" s="1194" t="s">
        <v>1007</v>
      </c>
      <c r="J138" s="1195"/>
      <c r="K138" s="352"/>
      <c r="L138" s="1196"/>
      <c r="M138" s="1197"/>
    </row>
    <row r="139" spans="1:13">
      <c r="A139" s="235">
        <f>+A138+1</f>
        <v>148</v>
      </c>
      <c r="B139" s="234"/>
      <c r="C139" s="229" t="s">
        <v>293</v>
      </c>
      <c r="D139" s="232" t="str">
        <f>+D138</f>
        <v>Attachment 11</v>
      </c>
      <c r="E139" s="428">
        <v>47.986294744155259</v>
      </c>
      <c r="F139" s="428">
        <v>0</v>
      </c>
      <c r="G139" s="428">
        <v>0</v>
      </c>
      <c r="H139" s="227"/>
      <c r="I139" s="1194" t="str">
        <f>+I138</f>
        <v>Pursuant to Attachment 11</v>
      </c>
      <c r="J139" s="1198"/>
      <c r="K139" s="352"/>
      <c r="L139" s="1199"/>
      <c r="M139" s="1200"/>
    </row>
    <row r="140" spans="1:13" ht="40.5" customHeight="1">
      <c r="A140" s="235">
        <f>+A139+1</f>
        <v>149</v>
      </c>
      <c r="B140" s="234"/>
      <c r="C140" s="232" t="s">
        <v>297</v>
      </c>
      <c r="D140" s="229" t="str">
        <f>"(line "&amp;A138&amp;" / line "&amp;A139&amp;")"</f>
        <v>(line 147 / line 148)</v>
      </c>
      <c r="E140" s="666">
        <f>+E138/E139</f>
        <v>41150.999687062045</v>
      </c>
      <c r="F140" s="666">
        <f>IF(F139=0,0,F138/F139)</f>
        <v>0</v>
      </c>
      <c r="G140" s="666">
        <f>IF(G139=0,0,G138/G139)</f>
        <v>0</v>
      </c>
      <c r="H140" s="227">
        <f>SUM(E140:G140)</f>
        <v>41150.999687062045</v>
      </c>
      <c r="I140" s="1563" t="s">
        <v>995</v>
      </c>
      <c r="J140" s="1563"/>
      <c r="K140" s="1563"/>
      <c r="L140" s="1563"/>
      <c r="M140" s="1564"/>
    </row>
    <row r="141" spans="1:13">
      <c r="A141" s="235">
        <f>+A140+1</f>
        <v>150</v>
      </c>
      <c r="B141" s="234"/>
      <c r="C141" s="229" t="s">
        <v>231</v>
      </c>
      <c r="D141" s="232" t="str">
        <f>+D139</f>
        <v>Attachment 11</v>
      </c>
      <c r="E141" s="428">
        <v>11.985881357703029</v>
      </c>
      <c r="F141" s="428">
        <v>0</v>
      </c>
      <c r="G141" s="428">
        <v>0</v>
      </c>
      <c r="H141" s="208"/>
      <c r="I141" s="1194" t="str">
        <f>+I139</f>
        <v>Pursuant to Attachment 11</v>
      </c>
      <c r="J141" s="1198"/>
      <c r="K141" s="352"/>
      <c r="L141" s="1199"/>
      <c r="M141" s="1200"/>
    </row>
    <row r="142" spans="1:13">
      <c r="A142" s="235">
        <f>+A141+1</f>
        <v>151</v>
      </c>
      <c r="B142" s="234"/>
      <c r="C142" s="229" t="s">
        <v>233</v>
      </c>
      <c r="D142" s="229" t="str">
        <f>"(line "&amp;A138&amp;" - line "&amp;A140&amp;" * "&amp;A141&amp;")"</f>
        <v>(line 147 - line 149 * 150)</v>
      </c>
      <c r="E142" s="666">
        <f>+E138-E140*E141</f>
        <v>1481452.9999999998</v>
      </c>
      <c r="F142" s="666">
        <f>+F138-F140*F141</f>
        <v>0</v>
      </c>
      <c r="G142" s="666">
        <f>+G138-G140*G141</f>
        <v>0</v>
      </c>
      <c r="H142" s="248"/>
      <c r="I142" s="1201" t="s">
        <v>454</v>
      </c>
      <c r="J142" s="1198"/>
      <c r="K142" s="1201"/>
      <c r="L142" s="1199"/>
      <c r="M142" s="1200"/>
    </row>
    <row r="143" spans="1:13">
      <c r="A143" s="235">
        <f>+A142+1</f>
        <v>152</v>
      </c>
      <c r="B143" s="234"/>
      <c r="C143" s="229" t="s">
        <v>235</v>
      </c>
      <c r="D143" s="229" t="str">
        <f>"(line "&amp;A138&amp;" + line "&amp;A142&amp;")/2"</f>
        <v>(line 147 + line 151)/2</v>
      </c>
      <c r="E143" s="666">
        <f>+E138/2+E142/2</f>
        <v>1728068.5</v>
      </c>
      <c r="F143" s="666">
        <f>+F138/2+F142/2</f>
        <v>0</v>
      </c>
      <c r="G143" s="666">
        <f>+G138/2+G142/2</f>
        <v>0</v>
      </c>
      <c r="H143" s="227">
        <f>SUM(E143:G143)</f>
        <v>1728068.5</v>
      </c>
      <c r="I143" s="1202" t="s">
        <v>459</v>
      </c>
      <c r="J143" s="1195" t="s">
        <v>460</v>
      </c>
      <c r="K143" s="1201"/>
      <c r="L143" s="1203"/>
      <c r="M143" s="1200"/>
    </row>
    <row r="144" spans="1:13" ht="15.75">
      <c r="A144" s="235"/>
      <c r="B144" s="234"/>
      <c r="C144" s="249"/>
      <c r="D144" s="229"/>
      <c r="E144" s="165"/>
      <c r="F144" s="165"/>
      <c r="G144" s="165"/>
      <c r="H144" s="248"/>
      <c r="I144" s="1506" t="s">
        <v>1093</v>
      </c>
      <c r="J144" s="1507" t="s">
        <v>1095</v>
      </c>
      <c r="K144" s="752"/>
      <c r="L144" s="757"/>
      <c r="M144" s="753"/>
    </row>
    <row r="145" spans="1:13" ht="15.75" customHeight="1">
      <c r="A145" s="453"/>
      <c r="B145" s="208"/>
      <c r="C145" s="208" t="s">
        <v>1008</v>
      </c>
      <c r="D145" s="208"/>
      <c r="E145" s="227">
        <f>+E142-1481453</f>
        <v>0</v>
      </c>
      <c r="F145" s="208"/>
      <c r="G145" s="208"/>
      <c r="H145" s="208"/>
      <c r="I145" s="826"/>
      <c r="J145" s="826"/>
      <c r="K145" s="719"/>
      <c r="L145" s="719"/>
      <c r="M145" s="758"/>
    </row>
    <row r="146" spans="1:13" ht="16.5" thickBot="1">
      <c r="A146" s="244"/>
      <c r="B146" s="243"/>
      <c r="C146" s="754"/>
      <c r="D146" s="262"/>
      <c r="E146" s="262"/>
      <c r="F146" s="262"/>
      <c r="G146" s="755"/>
      <c r="H146" s="756"/>
      <c r="I146" s="827"/>
      <c r="J146" s="828"/>
      <c r="K146" s="759"/>
      <c r="L146" s="760"/>
      <c r="M146" s="761"/>
    </row>
    <row r="147" spans="1:13" ht="15.75">
      <c r="C147" s="192"/>
      <c r="D147" s="192"/>
      <c r="E147" s="192"/>
      <c r="F147" s="192"/>
      <c r="G147" s="192"/>
    </row>
    <row r="148" spans="1:13" ht="16.5" thickBot="1">
      <c r="A148" s="588" t="s">
        <v>185</v>
      </c>
      <c r="B148" s="192"/>
      <c r="C148" s="192"/>
      <c r="D148" s="192"/>
      <c r="E148" s="192"/>
      <c r="F148" s="192"/>
      <c r="G148" s="192"/>
      <c r="H148" s="192"/>
      <c r="I148" s="192"/>
      <c r="J148" s="192"/>
      <c r="K148" s="192"/>
      <c r="L148" s="192"/>
      <c r="M148" s="192"/>
    </row>
    <row r="149" spans="1:13" ht="15.75">
      <c r="A149" s="1561" t="s">
        <v>498</v>
      </c>
      <c r="B149" s="1562"/>
      <c r="C149" s="1562"/>
      <c r="D149" s="1562"/>
      <c r="E149" s="1562"/>
      <c r="F149" s="1562"/>
      <c r="G149" s="871"/>
      <c r="H149" s="871"/>
      <c r="I149" s="871"/>
      <c r="J149" s="1558" t="s">
        <v>110</v>
      </c>
      <c r="K149" s="1559"/>
      <c r="L149" s="1559"/>
      <c r="M149" s="1560"/>
    </row>
    <row r="150" spans="1:13" ht="15.75">
      <c r="A150" s="209">
        <f>+A143+1</f>
        <v>153</v>
      </c>
      <c r="B150" s="211"/>
      <c r="C150" s="217" t="s">
        <v>247</v>
      </c>
      <c r="D150" s="213"/>
      <c r="E150" s="210"/>
      <c r="F150" s="1204"/>
      <c r="G150" s="589"/>
      <c r="H150" s="263"/>
      <c r="I150" s="263"/>
      <c r="J150" s="590"/>
      <c r="K150" s="590"/>
      <c r="L150" s="590"/>
      <c r="M150" s="591"/>
    </row>
    <row r="151" spans="1:13" ht="15.75">
      <c r="A151" s="209"/>
      <c r="B151" s="211"/>
      <c r="C151" s="217"/>
      <c r="D151" s="213"/>
      <c r="E151" s="210"/>
      <c r="F151" s="1204"/>
      <c r="G151" s="589"/>
      <c r="H151" s="263"/>
      <c r="I151" s="263"/>
      <c r="J151" s="590"/>
      <c r="K151" s="590"/>
      <c r="L151" s="590"/>
      <c r="M151" s="591"/>
    </row>
    <row r="152" spans="1:13" ht="15.75">
      <c r="A152" s="209"/>
      <c r="B152" s="210"/>
      <c r="C152" s="208"/>
      <c r="D152" s="208"/>
      <c r="E152" s="208"/>
      <c r="F152" s="1205"/>
      <c r="G152" s="240"/>
      <c r="H152" s="240"/>
      <c r="I152" s="240"/>
      <c r="J152" s="240"/>
      <c r="K152" s="240"/>
      <c r="L152" s="240"/>
      <c r="M152" s="592"/>
    </row>
    <row r="153" spans="1:13" ht="15.75">
      <c r="A153" s="209">
        <f>A150+1</f>
        <v>154</v>
      </c>
      <c r="B153" s="210"/>
      <c r="C153" s="1210" t="s">
        <v>493</v>
      </c>
      <c r="D153" s="253"/>
      <c r="E153" s="1211"/>
      <c r="F153" s="1205"/>
      <c r="G153" s="240"/>
      <c r="H153" s="240"/>
      <c r="I153" s="240"/>
      <c r="J153" s="240"/>
      <c r="K153" s="240"/>
      <c r="L153" s="240"/>
      <c r="M153" s="592"/>
    </row>
    <row r="154" spans="1:13" ht="15.75">
      <c r="A154" s="209">
        <f t="shared" ref="A154:A161" si="5">+A153+1</f>
        <v>155</v>
      </c>
      <c r="B154" s="210"/>
      <c r="C154" s="665" t="s">
        <v>248</v>
      </c>
      <c r="D154" s="1212"/>
      <c r="E154" s="1213">
        <v>-706747</v>
      </c>
      <c r="F154" s="1205"/>
      <c r="G154" s="240"/>
      <c r="H154" s="240"/>
      <c r="I154" s="240"/>
      <c r="J154" s="240"/>
      <c r="K154" s="240"/>
      <c r="L154" s="240"/>
      <c r="M154" s="592"/>
    </row>
    <row r="155" spans="1:13" ht="15.75">
      <c r="A155" s="209">
        <f t="shared" si="5"/>
        <v>156</v>
      </c>
      <c r="B155" s="210"/>
      <c r="C155" s="665" t="s">
        <v>249</v>
      </c>
      <c r="D155" s="1212"/>
      <c r="E155" s="1214">
        <v>296833483</v>
      </c>
      <c r="F155" s="1205"/>
      <c r="G155" s="240"/>
      <c r="H155" s="240"/>
      <c r="I155" s="240"/>
      <c r="J155" s="240"/>
      <c r="K155" s="240"/>
      <c r="L155" s="240"/>
      <c r="M155" s="592"/>
    </row>
    <row r="156" spans="1:13" ht="15.75">
      <c r="A156" s="209">
        <f t="shared" si="5"/>
        <v>157</v>
      </c>
      <c r="B156" s="210"/>
      <c r="C156" s="665" t="s">
        <v>250</v>
      </c>
      <c r="D156" s="1212"/>
      <c r="E156" s="1215">
        <f>+E154/E155</f>
        <v>-2.3809544423935491E-3</v>
      </c>
      <c r="F156" s="1205"/>
      <c r="G156" s="240"/>
      <c r="H156" s="240"/>
      <c r="I156" s="240"/>
      <c r="J156" s="240"/>
      <c r="K156" s="240"/>
      <c r="L156" s="240"/>
      <c r="M156" s="592"/>
    </row>
    <row r="157" spans="1:13" ht="15.75">
      <c r="A157" s="209">
        <f t="shared" si="5"/>
        <v>158</v>
      </c>
      <c r="B157" s="210"/>
      <c r="C157" s="665" t="s">
        <v>288</v>
      </c>
      <c r="D157" s="1212"/>
      <c r="E157" s="1216">
        <v>8008</v>
      </c>
      <c r="F157" s="1205"/>
      <c r="G157" s="240"/>
      <c r="H157" s="240"/>
      <c r="I157" s="240"/>
      <c r="J157" s="240"/>
      <c r="K157" s="240"/>
      <c r="L157" s="240"/>
      <c r="M157" s="592"/>
    </row>
    <row r="158" spans="1:13" ht="15.75">
      <c r="A158" s="209">
        <f t="shared" si="5"/>
        <v>159</v>
      </c>
      <c r="B158" s="210"/>
      <c r="C158" s="665" t="s">
        <v>289</v>
      </c>
      <c r="D158" s="1212"/>
      <c r="E158" s="1217">
        <f>+E156*E157</f>
        <v>-19.06668317468754</v>
      </c>
      <c r="F158" s="1205"/>
      <c r="G158" s="240"/>
      <c r="H158" s="240"/>
      <c r="I158" s="240"/>
      <c r="J158" s="240"/>
      <c r="K158" s="240"/>
      <c r="L158" s="240"/>
      <c r="M158" s="592"/>
    </row>
    <row r="159" spans="1:13" ht="15.75">
      <c r="A159" s="209">
        <f t="shared" si="5"/>
        <v>160</v>
      </c>
      <c r="B159" s="210"/>
      <c r="C159" s="665" t="s">
        <v>527</v>
      </c>
      <c r="D159" s="1212"/>
      <c r="E159" s="1216">
        <v>43</v>
      </c>
      <c r="F159" s="1205"/>
      <c r="G159" s="240"/>
      <c r="H159" s="240"/>
      <c r="I159" s="240"/>
      <c r="J159" s="240"/>
      <c r="K159" s="240"/>
      <c r="L159" s="240"/>
      <c r="M159" s="592"/>
    </row>
    <row r="160" spans="1:13" ht="15.75">
      <c r="A160" s="209">
        <f t="shared" si="5"/>
        <v>161</v>
      </c>
      <c r="B160" s="210"/>
      <c r="C160" s="665" t="s">
        <v>1075</v>
      </c>
      <c r="D160" s="1218" t="s">
        <v>8</v>
      </c>
      <c r="E160" s="1217">
        <f>+E158-E159</f>
        <v>-62.06668317468754</v>
      </c>
      <c r="F160" s="1205"/>
      <c r="G160" s="240"/>
      <c r="H160" s="240"/>
      <c r="I160" s="240"/>
      <c r="J160" s="240"/>
      <c r="K160" s="240"/>
      <c r="L160" s="240"/>
      <c r="M160" s="592"/>
    </row>
    <row r="161" spans="1:13" ht="15.75">
      <c r="A161" s="209">
        <f t="shared" si="5"/>
        <v>162</v>
      </c>
      <c r="B161" s="210"/>
      <c r="C161" s="665" t="str">
        <f>"Lines "&amp;A154&amp;"-"&amp;A156&amp;" cannot change absent approval or acceptance by FERC in a separate proceeding. "</f>
        <v xml:space="preserve">Lines 155-157 cannot change absent approval or acceptance by FERC in a separate proceeding. </v>
      </c>
      <c r="D161" s="1212"/>
      <c r="E161" s="1212"/>
      <c r="F161" s="1205"/>
      <c r="G161" s="240"/>
      <c r="H161" s="240"/>
      <c r="I161" s="240"/>
      <c r="J161" s="240"/>
      <c r="K161" s="240"/>
      <c r="L161" s="240"/>
      <c r="M161" s="592"/>
    </row>
    <row r="162" spans="1:13" ht="15.75">
      <c r="A162" s="209"/>
      <c r="B162" s="210"/>
      <c r="C162" s="665"/>
      <c r="D162" s="1212"/>
      <c r="E162" s="1212"/>
      <c r="F162" s="1205"/>
      <c r="G162" s="240"/>
      <c r="H162" s="240"/>
      <c r="I162" s="240"/>
      <c r="J162" s="240"/>
      <c r="K162" s="240"/>
      <c r="L162" s="240"/>
      <c r="M162" s="592"/>
    </row>
    <row r="163" spans="1:13" ht="15.75">
      <c r="A163" s="209">
        <f>+A160+1</f>
        <v>162</v>
      </c>
      <c r="B163" s="208"/>
      <c r="C163" s="1210" t="s">
        <v>996</v>
      </c>
      <c r="D163" s="253"/>
      <c r="E163" s="229"/>
      <c r="F163" s="1206"/>
      <c r="G163" s="240"/>
      <c r="H163" s="240"/>
      <c r="I163" s="240"/>
      <c r="J163" s="240"/>
      <c r="K163" s="240"/>
      <c r="L163" s="240"/>
      <c r="M163" s="592"/>
    </row>
    <row r="164" spans="1:13" ht="15.75">
      <c r="A164" s="209">
        <f t="shared" ref="A164:A171" si="6">+A163+1</f>
        <v>163</v>
      </c>
      <c r="B164" s="211"/>
      <c r="C164" s="665" t="s">
        <v>248</v>
      </c>
      <c r="D164" s="1212"/>
      <c r="E164" s="1213">
        <v>9027</v>
      </c>
      <c r="F164" s="1205"/>
      <c r="G164" s="240"/>
      <c r="H164" s="240"/>
      <c r="I164" s="240"/>
      <c r="J164" s="240"/>
      <c r="K164" s="240"/>
      <c r="L164" s="240"/>
      <c r="M164" s="592"/>
    </row>
    <row r="165" spans="1:13" ht="15.75">
      <c r="A165" s="209">
        <f t="shared" si="6"/>
        <v>164</v>
      </c>
      <c r="B165" s="210"/>
      <c r="C165" s="1212" t="s">
        <v>249</v>
      </c>
      <c r="D165" s="1212"/>
      <c r="E165" s="1214">
        <v>21957323</v>
      </c>
      <c r="F165" s="1205"/>
      <c r="G165" s="240"/>
      <c r="H165" s="240"/>
      <c r="I165" s="240"/>
      <c r="J165" s="240"/>
      <c r="K165" s="240"/>
      <c r="L165" s="240"/>
      <c r="M165" s="592"/>
    </row>
    <row r="166" spans="1:13" ht="15.75">
      <c r="A166" s="209">
        <f t="shared" si="6"/>
        <v>165</v>
      </c>
      <c r="B166" s="210"/>
      <c r="C166" s="1212" t="s">
        <v>250</v>
      </c>
      <c r="D166" s="1212"/>
      <c r="E166" s="1215">
        <f>+E164/E165</f>
        <v>4.1111569019593142E-4</v>
      </c>
      <c r="F166" s="1205"/>
      <c r="G166" s="240"/>
      <c r="H166" s="240"/>
      <c r="I166" s="240"/>
      <c r="J166" s="240"/>
      <c r="K166" s="240"/>
      <c r="L166" s="240"/>
      <c r="M166" s="592"/>
    </row>
    <row r="167" spans="1:13" ht="15.75">
      <c r="A167" s="209">
        <f t="shared" si="6"/>
        <v>166</v>
      </c>
      <c r="B167" s="210"/>
      <c r="C167" s="1212" t="s">
        <v>288</v>
      </c>
      <c r="D167" s="1212"/>
      <c r="E167" s="1216">
        <v>58838</v>
      </c>
      <c r="F167" s="1205"/>
      <c r="G167" s="240"/>
      <c r="H167" s="240"/>
      <c r="I167" s="240"/>
      <c r="J167" s="240"/>
      <c r="K167" s="240"/>
      <c r="L167" s="240"/>
      <c r="M167" s="592"/>
    </row>
    <row r="168" spans="1:13" ht="15.75">
      <c r="A168" s="209">
        <f t="shared" si="6"/>
        <v>167</v>
      </c>
      <c r="B168" s="210"/>
      <c r="C168" s="1212" t="s">
        <v>289</v>
      </c>
      <c r="D168" s="1212"/>
      <c r="E168" s="1217">
        <f>+E166*E167</f>
        <v>24.189224979748214</v>
      </c>
      <c r="F168" s="1205"/>
      <c r="G168" s="240"/>
      <c r="H168" s="240"/>
      <c r="I168" s="240"/>
      <c r="J168" s="240"/>
      <c r="K168" s="240"/>
      <c r="L168" s="240"/>
      <c r="M168" s="592"/>
    </row>
    <row r="169" spans="1:13" ht="15.75">
      <c r="A169" s="209">
        <f t="shared" si="6"/>
        <v>168</v>
      </c>
      <c r="B169" s="210"/>
      <c r="C169" s="665" t="s">
        <v>527</v>
      </c>
      <c r="D169" s="1212"/>
      <c r="E169" s="1216">
        <v>19</v>
      </c>
      <c r="F169" s="1205"/>
      <c r="G169" s="240"/>
      <c r="H169" s="240"/>
      <c r="I169" s="240"/>
      <c r="J169" s="240"/>
      <c r="K169" s="240"/>
      <c r="L169" s="240"/>
      <c r="M169" s="592"/>
    </row>
    <row r="170" spans="1:13" ht="15.75">
      <c r="A170" s="209">
        <f t="shared" si="6"/>
        <v>169</v>
      </c>
      <c r="B170" s="210"/>
      <c r="C170" s="665" t="s">
        <v>1075</v>
      </c>
      <c r="D170" s="1218" t="s">
        <v>8</v>
      </c>
      <c r="E170" s="1217">
        <f>+E168-E169</f>
        <v>5.1892249797482144</v>
      </c>
      <c r="F170" s="1205"/>
      <c r="G170" s="240"/>
      <c r="H170" s="240"/>
      <c r="I170" s="240"/>
      <c r="J170" s="240"/>
      <c r="K170" s="240"/>
      <c r="L170" s="240"/>
      <c r="M170" s="592"/>
    </row>
    <row r="171" spans="1:13" ht="15.75">
      <c r="A171" s="209">
        <f t="shared" si="6"/>
        <v>170</v>
      </c>
      <c r="B171" s="210"/>
      <c r="C171" s="1212" t="str">
        <f>"Lines "&amp;A164&amp;"-"&amp;A166&amp;" cannot change absent approval or acceptance by FERC in a separate proceeding. "</f>
        <v xml:space="preserve">Lines 163-165 cannot change absent approval or acceptance by FERC in a separate proceeding. </v>
      </c>
      <c r="D171" s="1212"/>
      <c r="E171" s="1212"/>
      <c r="F171" s="1205"/>
      <c r="G171" s="240"/>
      <c r="H171" s="240"/>
      <c r="I171" s="240"/>
      <c r="J171" s="240"/>
      <c r="K171" s="240"/>
      <c r="L171" s="240"/>
      <c r="M171" s="592"/>
    </row>
    <row r="172" spans="1:13" ht="15.75">
      <c r="A172" s="209"/>
      <c r="B172" s="208"/>
      <c r="C172" s="208"/>
      <c r="D172" s="208"/>
      <c r="E172" s="208"/>
      <c r="F172" s="1205"/>
      <c r="G172" s="240"/>
      <c r="H172" s="240"/>
      <c r="I172" s="240"/>
      <c r="J172" s="240"/>
      <c r="K172" s="240"/>
      <c r="L172" s="240"/>
      <c r="M172" s="592"/>
    </row>
    <row r="173" spans="1:13" ht="15.75">
      <c r="A173" s="209">
        <f>+A171+1</f>
        <v>171</v>
      </c>
      <c r="B173" s="208"/>
      <c r="C173" s="1210" t="s">
        <v>500</v>
      </c>
      <c r="D173" s="253"/>
      <c r="E173" s="229"/>
      <c r="F173" s="1206"/>
      <c r="G173" s="240"/>
      <c r="H173" s="240"/>
      <c r="I173" s="240"/>
      <c r="J173" s="240"/>
      <c r="K173" s="240"/>
      <c r="L173" s="240"/>
      <c r="M173" s="592"/>
    </row>
    <row r="174" spans="1:13" ht="15.75">
      <c r="A174" s="209">
        <f t="shared" ref="A174:A181" si="7">+A173+1</f>
        <v>172</v>
      </c>
      <c r="B174" s="211"/>
      <c r="C174" s="665" t="s">
        <v>248</v>
      </c>
      <c r="D174" s="1212"/>
      <c r="E174" s="1213">
        <v>112598</v>
      </c>
      <c r="F174" s="1205"/>
      <c r="G174" s="240"/>
      <c r="H174" s="240"/>
      <c r="I174" s="240"/>
      <c r="J174" s="240"/>
      <c r="K174" s="240"/>
      <c r="L174" s="240"/>
      <c r="M174" s="592"/>
    </row>
    <row r="175" spans="1:13" ht="15.75">
      <c r="A175" s="209">
        <f t="shared" si="7"/>
        <v>173</v>
      </c>
      <c r="B175" s="210"/>
      <c r="C175" s="1212" t="s">
        <v>249</v>
      </c>
      <c r="D175" s="1212"/>
      <c r="E175" s="1214">
        <v>510661263</v>
      </c>
      <c r="F175" s="1205"/>
      <c r="G175" s="240"/>
      <c r="H175" s="240"/>
      <c r="I175" s="240"/>
      <c r="J175" s="240"/>
      <c r="K175" s="240"/>
      <c r="L175" s="240"/>
      <c r="M175" s="592"/>
    </row>
    <row r="176" spans="1:13" ht="15.75">
      <c r="A176" s="209">
        <f t="shared" si="7"/>
        <v>174</v>
      </c>
      <c r="B176" s="210"/>
      <c r="C176" s="1212" t="s">
        <v>250</v>
      </c>
      <c r="D176" s="1212"/>
      <c r="E176" s="1215">
        <f>+E174/E175</f>
        <v>2.2049450028481993E-4</v>
      </c>
      <c r="F176" s="1205"/>
      <c r="G176" s="240"/>
      <c r="H176" s="240"/>
      <c r="I176" s="240"/>
      <c r="J176" s="240"/>
      <c r="K176" s="240"/>
      <c r="L176" s="240"/>
      <c r="M176" s="592"/>
    </row>
    <row r="177" spans="1:13" ht="15.75">
      <c r="A177" s="209">
        <f t="shared" si="7"/>
        <v>175</v>
      </c>
      <c r="B177" s="210"/>
      <c r="C177" s="1212" t="s">
        <v>288</v>
      </c>
      <c r="D177" s="1212"/>
      <c r="E177" s="1216">
        <v>0</v>
      </c>
      <c r="F177" s="1205"/>
      <c r="G177" s="240"/>
      <c r="H177" s="240"/>
      <c r="I177" s="240"/>
      <c r="J177" s="240"/>
      <c r="K177" s="240"/>
      <c r="L177" s="240"/>
      <c r="M177" s="592"/>
    </row>
    <row r="178" spans="1:13" ht="15.75">
      <c r="A178" s="209">
        <f t="shared" si="7"/>
        <v>176</v>
      </c>
      <c r="B178" s="210"/>
      <c r="C178" s="1212" t="s">
        <v>289</v>
      </c>
      <c r="D178" s="1212"/>
      <c r="E178" s="1217">
        <f>+E176*E177</f>
        <v>0</v>
      </c>
      <c r="F178" s="1205"/>
      <c r="G178" s="240"/>
      <c r="H178" s="240"/>
      <c r="I178" s="240"/>
      <c r="J178" s="240"/>
      <c r="K178" s="240"/>
      <c r="L178" s="240"/>
      <c r="M178" s="592"/>
    </row>
    <row r="179" spans="1:13" ht="15.75">
      <c r="A179" s="209">
        <f t="shared" si="7"/>
        <v>177</v>
      </c>
      <c r="B179" s="210"/>
      <c r="C179" s="665" t="s">
        <v>527</v>
      </c>
      <c r="D179" s="1212"/>
      <c r="E179" s="1216">
        <v>0</v>
      </c>
      <c r="F179" s="1205"/>
      <c r="G179" s="240"/>
      <c r="H179" s="240"/>
      <c r="I179" s="240"/>
      <c r="J179" s="240"/>
      <c r="K179" s="240"/>
      <c r="L179" s="240"/>
      <c r="M179" s="592"/>
    </row>
    <row r="180" spans="1:13" ht="15.75">
      <c r="A180" s="209">
        <f t="shared" si="7"/>
        <v>178</v>
      </c>
      <c r="B180" s="210"/>
      <c r="C180" s="665" t="s">
        <v>1075</v>
      </c>
      <c r="D180" s="1218" t="s">
        <v>8</v>
      </c>
      <c r="E180" s="1217">
        <f>+E178-E179</f>
        <v>0</v>
      </c>
      <c r="F180" s="1205"/>
      <c r="G180" s="240"/>
      <c r="H180" s="240"/>
      <c r="I180" s="240"/>
      <c r="J180" s="240"/>
      <c r="K180" s="240"/>
      <c r="L180" s="240"/>
      <c r="M180" s="592"/>
    </row>
    <row r="181" spans="1:13" ht="15.75">
      <c r="A181" s="209">
        <f t="shared" si="7"/>
        <v>179</v>
      </c>
      <c r="B181" s="210"/>
      <c r="C181" s="1212" t="str">
        <f>"Lines "&amp;A174&amp;"-"&amp;A176&amp;" cannot change absent approval or acceptance by FERC in a separate proceeding. "</f>
        <v xml:space="preserve">Lines 172-174 cannot change absent approval or acceptance by FERC in a separate proceeding. </v>
      </c>
      <c r="D181" s="1212"/>
      <c r="E181" s="1212"/>
      <c r="F181" s="1205"/>
      <c r="G181" s="240"/>
      <c r="H181" s="240"/>
      <c r="I181" s="240"/>
      <c r="J181" s="240"/>
      <c r="K181" s="240"/>
      <c r="L181" s="240"/>
      <c r="M181" s="592"/>
    </row>
    <row r="182" spans="1:13" ht="15.75">
      <c r="A182" s="209"/>
      <c r="B182" s="208"/>
      <c r="C182" s="208"/>
      <c r="D182" s="208"/>
      <c r="E182" s="208"/>
      <c r="F182" s="1205"/>
      <c r="G182" s="240"/>
      <c r="H182" s="240"/>
      <c r="I182" s="240"/>
      <c r="J182" s="240"/>
      <c r="K182" s="240"/>
      <c r="L182" s="240"/>
      <c r="M182" s="592"/>
    </row>
    <row r="183" spans="1:13" ht="15.75">
      <c r="A183" s="209">
        <f>+A181+1</f>
        <v>180</v>
      </c>
      <c r="B183" s="208"/>
      <c r="C183" s="208" t="str">
        <f>+'Appendix III'!C121</f>
        <v xml:space="preserve">     PBOP expense adjustment</v>
      </c>
      <c r="D183" s="208" t="str">
        <f>"(sum lines "&amp;A160&amp;", "&amp;A170&amp;", &amp; "&amp;A180&amp;")"</f>
        <v>(sum lines 161, 169, &amp; 178)</v>
      </c>
      <c r="E183" s="1219">
        <f>+E170+E160+E180</f>
        <v>-56.877458194939322</v>
      </c>
      <c r="F183" s="1205"/>
      <c r="G183" s="240"/>
      <c r="H183" s="240"/>
      <c r="I183" s="240"/>
      <c r="J183" s="240"/>
      <c r="K183" s="240"/>
      <c r="L183" s="240"/>
      <c r="M183" s="592"/>
    </row>
    <row r="184" spans="1:13">
      <c r="A184" s="209"/>
      <c r="B184" s="208"/>
      <c r="C184" s="208"/>
      <c r="D184" s="208"/>
      <c r="E184" s="208"/>
      <c r="F184" s="208"/>
      <c r="G184" s="208"/>
      <c r="H184" s="208"/>
      <c r="I184" s="208"/>
      <c r="J184" s="208"/>
      <c r="K184" s="208"/>
      <c r="L184" s="208"/>
      <c r="M184" s="207"/>
    </row>
    <row r="185" spans="1:13" ht="16.5" thickBot="1">
      <c r="A185" s="271"/>
      <c r="B185" s="205"/>
      <c r="C185" s="262"/>
      <c r="D185" s="205"/>
      <c r="E185" s="205"/>
      <c r="F185" s="205"/>
      <c r="G185" s="205"/>
      <c r="H185" s="205"/>
      <c r="I185" s="205"/>
      <c r="J185" s="205"/>
      <c r="K185" s="205"/>
      <c r="L185" s="205"/>
      <c r="M185" s="204"/>
    </row>
    <row r="186" spans="1:13">
      <c r="A186" s="199"/>
    </row>
    <row r="187" spans="1:13">
      <c r="A187" s="199"/>
    </row>
    <row r="188" spans="1:13">
      <c r="A188" s="199"/>
    </row>
    <row r="189" spans="1:13" ht="15" customHeight="1">
      <c r="A189" s="199"/>
    </row>
    <row r="190" spans="1:13">
      <c r="A190" s="199"/>
    </row>
    <row r="191" spans="1:13">
      <c r="A191" s="199"/>
      <c r="H191" s="864"/>
    </row>
    <row r="192" spans="1:13">
      <c r="A192" s="199"/>
    </row>
    <row r="193" spans="1:1">
      <c r="A193" s="199"/>
    </row>
    <row r="194" spans="1:1">
      <c r="A194" s="199"/>
    </row>
    <row r="195" spans="1:1">
      <c r="A195" s="199"/>
    </row>
    <row r="196" spans="1:1">
      <c r="A196" s="199"/>
    </row>
    <row r="197" spans="1:1">
      <c r="A197" s="199"/>
    </row>
    <row r="198" spans="1:1">
      <c r="A198" s="199"/>
    </row>
    <row r="199" spans="1:1">
      <c r="A199" s="199"/>
    </row>
    <row r="200" spans="1:1">
      <c r="A200" s="199"/>
    </row>
    <row r="201" spans="1:1">
      <c r="A201" s="199"/>
    </row>
    <row r="202" spans="1:1">
      <c r="A202" s="199"/>
    </row>
    <row r="203" spans="1:1">
      <c r="A203" s="199"/>
    </row>
    <row r="204" spans="1:1">
      <c r="A204" s="199"/>
    </row>
    <row r="205" spans="1:1">
      <c r="A205" s="199"/>
    </row>
    <row r="206" spans="1:1">
      <c r="A206" s="199"/>
    </row>
    <row r="207" spans="1:1">
      <c r="A207" s="199"/>
    </row>
    <row r="208" spans="1:1">
      <c r="A208" s="199"/>
    </row>
    <row r="209" spans="1:1">
      <c r="A209" s="199"/>
    </row>
    <row r="210" spans="1:1">
      <c r="A210" s="199"/>
    </row>
  </sheetData>
  <mergeCells count="26">
    <mergeCell ref="J149:M149"/>
    <mergeCell ref="A149:F149"/>
    <mergeCell ref="H109:M109"/>
    <mergeCell ref="I140:M140"/>
    <mergeCell ref="A102:F102"/>
    <mergeCell ref="J102:M102"/>
    <mergeCell ref="J104:M104"/>
    <mergeCell ref="A107:F107"/>
    <mergeCell ref="H107:M107"/>
    <mergeCell ref="J74:M74"/>
    <mergeCell ref="A86:F86"/>
    <mergeCell ref="J86:M86"/>
    <mergeCell ref="J91:M91"/>
    <mergeCell ref="A95:F95"/>
    <mergeCell ref="L95:M95"/>
    <mergeCell ref="J53:M53"/>
    <mergeCell ref="A57:F57"/>
    <mergeCell ref="J57:M57"/>
    <mergeCell ref="J58:M58"/>
    <mergeCell ref="A73:F73"/>
    <mergeCell ref="J73:M73"/>
    <mergeCell ref="A3:F3"/>
    <mergeCell ref="J3:M3"/>
    <mergeCell ref="J48:M48"/>
    <mergeCell ref="A50:F50"/>
    <mergeCell ref="J50:M50"/>
  </mergeCells>
  <printOptions horizontalCentered="1"/>
  <pageMargins left="0.25" right="0.25" top="0.75" bottom="0.75" header="0.5" footer="0.5"/>
  <pageSetup scale="61" fitToHeight="0" orientation="landscape" r:id="rId1"/>
  <headerFooter alignWithMargins="0"/>
  <rowBreaks count="3" manualBreakCount="3">
    <brk id="48" max="12" man="1"/>
    <brk id="100" max="12" man="1"/>
    <brk id="14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3:R46"/>
  <sheetViews>
    <sheetView view="pageBreakPreview" zoomScale="60" zoomScaleNormal="100" workbookViewId="0"/>
  </sheetViews>
  <sheetFormatPr defaultRowHeight="15"/>
  <cols>
    <col min="1" max="1" width="8.77734375" style="1112"/>
    <col min="2" max="2" width="57.77734375" customWidth="1"/>
    <col min="3" max="3" width="22.44140625" customWidth="1"/>
    <col min="4" max="4" width="12.77734375" style="679" bestFit="1" customWidth="1"/>
    <col min="5" max="15" width="10.21875" style="679" bestFit="1" customWidth="1"/>
    <col min="16" max="17" width="11.5546875" style="679" bestFit="1" customWidth="1"/>
    <col min="18" max="18" width="8.77734375" style="679"/>
  </cols>
  <sheetData>
    <row r="3" spans="1:18" s="199" customFormat="1" ht="12.75">
      <c r="A3" s="1116" t="s">
        <v>225</v>
      </c>
      <c r="D3" s="725"/>
      <c r="E3" s="725"/>
      <c r="F3" s="725"/>
      <c r="G3" s="725"/>
      <c r="H3" s="725"/>
      <c r="I3" s="725"/>
      <c r="J3" s="725"/>
      <c r="K3" s="725"/>
      <c r="L3" s="725"/>
      <c r="M3" s="725"/>
      <c r="N3" s="725"/>
      <c r="O3" s="725"/>
      <c r="P3" s="725"/>
      <c r="Q3" s="725"/>
      <c r="R3" s="725"/>
    </row>
    <row r="4" spans="1:18" s="199" customFormat="1" ht="13.5" thickBot="1">
      <c r="A4" s="1549" t="s">
        <v>498</v>
      </c>
      <c r="B4" s="1549"/>
      <c r="C4" s="1549"/>
      <c r="D4" s="1549"/>
      <c r="E4" s="1549"/>
      <c r="F4" s="1549"/>
      <c r="G4" s="1133"/>
      <c r="H4" s="1574"/>
      <c r="I4" s="1575"/>
      <c r="J4" s="1575"/>
      <c r="K4" s="1575"/>
      <c r="L4" s="1575"/>
      <c r="M4" s="1575"/>
      <c r="N4" s="725"/>
      <c r="O4" s="725"/>
      <c r="P4" s="725"/>
      <c r="Q4" s="725"/>
      <c r="R4" s="725"/>
    </row>
    <row r="5" spans="1:18" s="199" customFormat="1" ht="12.75">
      <c r="A5" s="1134"/>
      <c r="B5" s="1135"/>
      <c r="C5" s="1136"/>
      <c r="D5" s="1137"/>
      <c r="E5" s="1138"/>
      <c r="F5" s="1138"/>
      <c r="G5" s="1138"/>
      <c r="H5" s="1137"/>
      <c r="I5" s="1137"/>
      <c r="J5" s="1137"/>
      <c r="K5" s="1137"/>
      <c r="L5" s="1137"/>
      <c r="M5" s="1137"/>
      <c r="N5" s="1139"/>
      <c r="O5" s="1139"/>
      <c r="P5" s="1139"/>
      <c r="Q5" s="1140"/>
      <c r="R5" s="725"/>
    </row>
    <row r="6" spans="1:18">
      <c r="A6" s="1132"/>
      <c r="B6" s="1082"/>
      <c r="C6" s="1082"/>
      <c r="D6" s="1122"/>
      <c r="E6" s="1122"/>
      <c r="F6" s="1122"/>
      <c r="G6" s="1122"/>
      <c r="H6" s="1122"/>
      <c r="I6" s="1122"/>
      <c r="J6" s="1122"/>
      <c r="K6" s="1122"/>
      <c r="L6" s="1122"/>
      <c r="M6" s="1122"/>
      <c r="N6" s="1122"/>
      <c r="O6" s="1122"/>
      <c r="P6" s="1122"/>
      <c r="Q6" s="1123"/>
    </row>
    <row r="7" spans="1:18">
      <c r="A7" s="1113"/>
      <c r="B7" s="1082"/>
      <c r="C7" s="1083" t="s">
        <v>695</v>
      </c>
      <c r="D7" s="1122"/>
      <c r="E7" s="1122"/>
      <c r="F7" s="1122"/>
      <c r="G7" s="1122"/>
      <c r="H7" s="1122"/>
      <c r="I7" s="1122"/>
      <c r="J7" s="1122"/>
      <c r="K7" s="1122"/>
      <c r="L7" s="1122"/>
      <c r="M7" s="1122"/>
      <c r="N7" s="1122"/>
      <c r="O7" s="1122"/>
      <c r="P7" s="1122"/>
      <c r="Q7" s="1123"/>
    </row>
    <row r="8" spans="1:18">
      <c r="A8" s="1114" t="s">
        <v>304</v>
      </c>
      <c r="B8" s="1084" t="s">
        <v>696</v>
      </c>
      <c r="C8" s="1085" t="s">
        <v>697</v>
      </c>
      <c r="D8" s="1124" t="s">
        <v>146</v>
      </c>
      <c r="E8" s="1124" t="s">
        <v>156</v>
      </c>
      <c r="F8" s="1124" t="s">
        <v>155</v>
      </c>
      <c r="G8" s="1124" t="s">
        <v>154</v>
      </c>
      <c r="H8" s="1124" t="s">
        <v>134</v>
      </c>
      <c r="I8" s="1124" t="s">
        <v>131</v>
      </c>
      <c r="J8" s="1124" t="s">
        <v>262</v>
      </c>
      <c r="K8" s="1124" t="s">
        <v>152</v>
      </c>
      <c r="L8" s="1124" t="s">
        <v>151</v>
      </c>
      <c r="M8" s="1124" t="s">
        <v>150</v>
      </c>
      <c r="N8" s="1124" t="s">
        <v>161</v>
      </c>
      <c r="O8" s="1124" t="s">
        <v>148</v>
      </c>
      <c r="P8" s="1124" t="s">
        <v>146</v>
      </c>
      <c r="Q8" s="1125" t="s">
        <v>698</v>
      </c>
    </row>
    <row r="9" spans="1:18">
      <c r="A9" s="1113"/>
      <c r="B9" s="1086"/>
      <c r="C9" s="1086"/>
      <c r="D9" s="1126" t="s">
        <v>699</v>
      </c>
      <c r="E9" s="1126" t="s">
        <v>700</v>
      </c>
      <c r="F9" s="1126" t="s">
        <v>701</v>
      </c>
      <c r="G9" s="1126" t="s">
        <v>702</v>
      </c>
      <c r="H9" s="1126" t="s">
        <v>703</v>
      </c>
      <c r="I9" s="1126" t="s">
        <v>704</v>
      </c>
      <c r="J9" s="1126" t="s">
        <v>705</v>
      </c>
      <c r="K9" s="1126" t="s">
        <v>706</v>
      </c>
      <c r="L9" s="1126" t="s">
        <v>707</v>
      </c>
      <c r="M9" s="1126" t="s">
        <v>708</v>
      </c>
      <c r="N9" s="1126" t="s">
        <v>709</v>
      </c>
      <c r="O9" s="1126" t="s">
        <v>710</v>
      </c>
      <c r="P9" s="1126" t="s">
        <v>711</v>
      </c>
      <c r="Q9" s="1127" t="s">
        <v>712</v>
      </c>
    </row>
    <row r="10" spans="1:18">
      <c r="A10" s="1113">
        <f>+'2a - Cost Support'!A183+1</f>
        <v>181</v>
      </c>
      <c r="B10" s="1088" t="s">
        <v>713</v>
      </c>
      <c r="C10" s="1086"/>
      <c r="D10" s="1109"/>
      <c r="E10" s="1109"/>
      <c r="F10" s="1109"/>
      <c r="G10" s="1109"/>
      <c r="H10" s="1109"/>
      <c r="I10" s="1109"/>
      <c r="J10" s="1109"/>
      <c r="K10" s="1109"/>
      <c r="L10" s="1109"/>
      <c r="M10" s="1109"/>
      <c r="N10" s="1109"/>
      <c r="O10" s="1109"/>
      <c r="P10" s="1109"/>
      <c r="Q10" s="1110"/>
    </row>
    <row r="11" spans="1:18">
      <c r="A11" s="1113">
        <f t="shared" ref="A11:A41" si="0">A10+1</f>
        <v>182</v>
      </c>
      <c r="B11" s="1089" t="s">
        <v>714</v>
      </c>
      <c r="C11" s="1087" t="s">
        <v>715</v>
      </c>
      <c r="D11" s="1090">
        <v>0</v>
      </c>
      <c r="E11" s="1090">
        <v>0</v>
      </c>
      <c r="F11" s="1090">
        <v>0</v>
      </c>
      <c r="G11" s="1090">
        <v>0</v>
      </c>
      <c r="H11" s="1090">
        <v>0</v>
      </c>
      <c r="I11" s="1090">
        <v>0</v>
      </c>
      <c r="J11" s="1090">
        <v>0</v>
      </c>
      <c r="K11" s="1090">
        <v>0</v>
      </c>
      <c r="L11" s="1090">
        <v>0</v>
      </c>
      <c r="M11" s="1090">
        <v>0</v>
      </c>
      <c r="N11" s="1090">
        <v>0</v>
      </c>
      <c r="O11" s="1090">
        <v>0</v>
      </c>
      <c r="P11" s="1090">
        <v>0</v>
      </c>
      <c r="Q11" s="1091">
        <f>AVERAGE(D11:P11)</f>
        <v>0</v>
      </c>
    </row>
    <row r="12" spans="1:18">
      <c r="A12" s="1113">
        <f t="shared" si="0"/>
        <v>183</v>
      </c>
      <c r="B12" s="1089" t="s">
        <v>716</v>
      </c>
      <c r="C12" s="1087" t="s">
        <v>717</v>
      </c>
      <c r="D12" s="1092">
        <v>0</v>
      </c>
      <c r="E12" s="1092">
        <v>0</v>
      </c>
      <c r="F12" s="1092">
        <v>0</v>
      </c>
      <c r="G12" s="1092">
        <v>0</v>
      </c>
      <c r="H12" s="1092">
        <v>0</v>
      </c>
      <c r="I12" s="1092">
        <v>0</v>
      </c>
      <c r="J12" s="1092">
        <v>0</v>
      </c>
      <c r="K12" s="1092">
        <v>0</v>
      </c>
      <c r="L12" s="1092">
        <v>0</v>
      </c>
      <c r="M12" s="1092">
        <v>0</v>
      </c>
      <c r="N12" s="1092">
        <v>0</v>
      </c>
      <c r="O12" s="1092">
        <v>0</v>
      </c>
      <c r="P12" s="1092">
        <v>0</v>
      </c>
      <c r="Q12" s="1093">
        <f>AVERAGE(D12:P12)</f>
        <v>0</v>
      </c>
    </row>
    <row r="13" spans="1:18">
      <c r="A13" s="1113">
        <f t="shared" si="0"/>
        <v>184</v>
      </c>
      <c r="B13" s="1089" t="s">
        <v>718</v>
      </c>
      <c r="C13" s="1087" t="s">
        <v>719</v>
      </c>
      <c r="D13" s="1092">
        <v>0</v>
      </c>
      <c r="E13" s="1092">
        <v>0</v>
      </c>
      <c r="F13" s="1092">
        <v>0</v>
      </c>
      <c r="G13" s="1092">
        <v>0</v>
      </c>
      <c r="H13" s="1092">
        <v>0</v>
      </c>
      <c r="I13" s="1092">
        <v>0</v>
      </c>
      <c r="J13" s="1092">
        <v>0</v>
      </c>
      <c r="K13" s="1092">
        <v>0</v>
      </c>
      <c r="L13" s="1092">
        <v>0</v>
      </c>
      <c r="M13" s="1092">
        <v>0</v>
      </c>
      <c r="N13" s="1092">
        <v>0</v>
      </c>
      <c r="O13" s="1092">
        <v>0</v>
      </c>
      <c r="P13" s="1092">
        <v>0</v>
      </c>
      <c r="Q13" s="1093">
        <f>AVERAGE(D13:P13)</f>
        <v>0</v>
      </c>
    </row>
    <row r="14" spans="1:18" ht="15.75" thickBot="1">
      <c r="A14" s="1113">
        <f t="shared" si="0"/>
        <v>185</v>
      </c>
      <c r="B14" s="1094" t="s">
        <v>720</v>
      </c>
      <c r="C14" s="1087" t="s">
        <v>721</v>
      </c>
      <c r="D14" s="1095">
        <v>0</v>
      </c>
      <c r="E14" s="1095">
        <v>0</v>
      </c>
      <c r="F14" s="1095">
        <v>0</v>
      </c>
      <c r="G14" s="1095">
        <v>0</v>
      </c>
      <c r="H14" s="1095">
        <v>0</v>
      </c>
      <c r="I14" s="1095">
        <v>0</v>
      </c>
      <c r="J14" s="1095">
        <v>0</v>
      </c>
      <c r="K14" s="1095">
        <v>0</v>
      </c>
      <c r="L14" s="1095">
        <v>0</v>
      </c>
      <c r="M14" s="1095">
        <v>0</v>
      </c>
      <c r="N14" s="1095">
        <v>0</v>
      </c>
      <c r="O14" s="1095">
        <v>0</v>
      </c>
      <c r="P14" s="1095">
        <v>0</v>
      </c>
      <c r="Q14" s="1093">
        <f>AVERAGE(D14:P14)</f>
        <v>0</v>
      </c>
    </row>
    <row r="15" spans="1:18" ht="15.75" thickBot="1">
      <c r="A15" s="1113">
        <f t="shared" si="0"/>
        <v>186</v>
      </c>
      <c r="B15" s="1096" t="s">
        <v>722</v>
      </c>
      <c r="C15" s="1097" t="str">
        <f>"Sum Lines "&amp;A10&amp;" - "&amp;A14</f>
        <v>Sum Lines 181 - 185</v>
      </c>
      <c r="D15" s="1098">
        <f>SUM(D11:D14)</f>
        <v>0</v>
      </c>
      <c r="E15" s="1098">
        <f>SUM(E11:E14)</f>
        <v>0</v>
      </c>
      <c r="F15" s="1098">
        <f t="shared" ref="F15:P15" si="1">SUM(F11:F14)</f>
        <v>0</v>
      </c>
      <c r="G15" s="1098">
        <f t="shared" si="1"/>
        <v>0</v>
      </c>
      <c r="H15" s="1098">
        <f t="shared" si="1"/>
        <v>0</v>
      </c>
      <c r="I15" s="1098">
        <f t="shared" si="1"/>
        <v>0</v>
      </c>
      <c r="J15" s="1098">
        <f t="shared" si="1"/>
        <v>0</v>
      </c>
      <c r="K15" s="1098">
        <f t="shared" si="1"/>
        <v>0</v>
      </c>
      <c r="L15" s="1098">
        <f t="shared" si="1"/>
        <v>0</v>
      </c>
      <c r="M15" s="1098">
        <f t="shared" si="1"/>
        <v>0</v>
      </c>
      <c r="N15" s="1098">
        <f t="shared" si="1"/>
        <v>0</v>
      </c>
      <c r="O15" s="1098">
        <f t="shared" si="1"/>
        <v>0</v>
      </c>
      <c r="P15" s="1098">
        <f t="shared" si="1"/>
        <v>0</v>
      </c>
      <c r="Q15" s="1099">
        <f>SUM(Q11:Q14)</f>
        <v>0</v>
      </c>
    </row>
    <row r="16" spans="1:18" ht="15.75" thickBot="1">
      <c r="A16" s="1113">
        <f t="shared" si="0"/>
        <v>187</v>
      </c>
      <c r="B16" s="1088"/>
      <c r="C16" s="1088"/>
      <c r="D16" s="1109"/>
      <c r="E16" s="1109"/>
      <c r="F16" s="1109"/>
      <c r="G16" s="1109"/>
      <c r="H16" s="1109"/>
      <c r="I16" s="1109"/>
      <c r="J16" s="1109"/>
      <c r="K16" s="1109"/>
      <c r="L16" s="1109"/>
      <c r="M16" s="1109"/>
      <c r="N16" s="1109"/>
      <c r="O16" s="1109"/>
      <c r="P16" s="1109"/>
      <c r="Q16" s="1110"/>
    </row>
    <row r="17" spans="1:17" ht="15.75" thickBot="1">
      <c r="A17" s="1113">
        <f t="shared" si="0"/>
        <v>188</v>
      </c>
      <c r="B17" s="1096" t="s">
        <v>723</v>
      </c>
      <c r="C17" s="1087" t="s">
        <v>724</v>
      </c>
      <c r="D17" s="1117">
        <v>0</v>
      </c>
      <c r="E17" s="1117">
        <v>0</v>
      </c>
      <c r="F17" s="1117">
        <v>0</v>
      </c>
      <c r="G17" s="1117">
        <v>0</v>
      </c>
      <c r="H17" s="1117">
        <v>0</v>
      </c>
      <c r="I17" s="1117">
        <v>0</v>
      </c>
      <c r="J17" s="1117">
        <v>0</v>
      </c>
      <c r="K17" s="1117">
        <v>0</v>
      </c>
      <c r="L17" s="1117">
        <v>0</v>
      </c>
      <c r="M17" s="1117">
        <v>0</v>
      </c>
      <c r="N17" s="1117">
        <v>0</v>
      </c>
      <c r="O17" s="1117">
        <v>0</v>
      </c>
      <c r="P17" s="1118">
        <v>0</v>
      </c>
      <c r="Q17" s="1099">
        <f>AVERAGE(D17:P17)</f>
        <v>0</v>
      </c>
    </row>
    <row r="18" spans="1:17">
      <c r="A18" s="1113">
        <f t="shared" si="0"/>
        <v>189</v>
      </c>
      <c r="B18" s="1088"/>
      <c r="C18" s="1100"/>
      <c r="D18" s="1109"/>
      <c r="E18" s="1109"/>
      <c r="F18" s="1109"/>
      <c r="G18" s="1109"/>
      <c r="H18" s="1109"/>
      <c r="I18" s="1109"/>
      <c r="J18" s="1109"/>
      <c r="K18" s="1109"/>
      <c r="L18" s="1109"/>
      <c r="M18" s="1109"/>
      <c r="N18" s="1109"/>
      <c r="O18" s="1109"/>
      <c r="P18" s="1109"/>
      <c r="Q18" s="1110"/>
    </row>
    <row r="19" spans="1:17">
      <c r="A19" s="1113">
        <f t="shared" si="0"/>
        <v>190</v>
      </c>
      <c r="B19" s="1088" t="s">
        <v>725</v>
      </c>
      <c r="C19" s="1087" t="s">
        <v>726</v>
      </c>
      <c r="D19" s="1502">
        <v>6408520.8999999994</v>
      </c>
      <c r="E19" s="1502">
        <v>6443732.5999999996</v>
      </c>
      <c r="F19" s="1502">
        <v>6473504.8499999996</v>
      </c>
      <c r="G19" s="1502">
        <v>6506251.5800000001</v>
      </c>
      <c r="H19" s="1502">
        <v>6087653.6600000001</v>
      </c>
      <c r="I19" s="1502">
        <v>6120353.7300000004</v>
      </c>
      <c r="J19" s="1502">
        <v>6437556.3799999999</v>
      </c>
      <c r="K19" s="1502">
        <v>6463970.7300000004</v>
      </c>
      <c r="L19" s="1502">
        <v>5898710.0199999996</v>
      </c>
      <c r="M19" s="1502">
        <v>6035096.46</v>
      </c>
      <c r="N19" s="1502">
        <v>5613585</v>
      </c>
      <c r="O19" s="1502">
        <v>5040217.58</v>
      </c>
      <c r="P19" s="1502">
        <v>4644081.55</v>
      </c>
      <c r="Q19" s="1091">
        <f>AVERAGE(D19:P19)</f>
        <v>6013325.7723076921</v>
      </c>
    </row>
    <row r="20" spans="1:17">
      <c r="A20" s="1113">
        <f t="shared" si="0"/>
        <v>191</v>
      </c>
      <c r="B20" s="1089" t="s">
        <v>727</v>
      </c>
      <c r="C20" s="1087" t="s">
        <v>724</v>
      </c>
      <c r="D20" s="1117">
        <v>0</v>
      </c>
      <c r="E20" s="1117">
        <v>0</v>
      </c>
      <c r="F20" s="1117">
        <v>0</v>
      </c>
      <c r="G20" s="1117">
        <v>0</v>
      </c>
      <c r="H20" s="1117">
        <v>0</v>
      </c>
      <c r="I20" s="1117">
        <v>0</v>
      </c>
      <c r="J20" s="1117">
        <v>0</v>
      </c>
      <c r="K20" s="1117">
        <v>0</v>
      </c>
      <c r="L20" s="1117">
        <v>0</v>
      </c>
      <c r="M20" s="1117">
        <v>0</v>
      </c>
      <c r="N20" s="1117">
        <v>0</v>
      </c>
      <c r="O20" s="1117">
        <v>0</v>
      </c>
      <c r="P20" s="1117">
        <v>0</v>
      </c>
      <c r="Q20" s="1091">
        <f>AVERAGE(D20:P20)</f>
        <v>0</v>
      </c>
    </row>
    <row r="21" spans="1:17">
      <c r="A21" s="1113">
        <f t="shared" si="0"/>
        <v>192</v>
      </c>
      <c r="B21" s="1101" t="s">
        <v>728</v>
      </c>
      <c r="C21" s="1087" t="s">
        <v>729</v>
      </c>
      <c r="D21" s="1117">
        <v>0</v>
      </c>
      <c r="E21" s="1117">
        <v>0</v>
      </c>
      <c r="F21" s="1117">
        <v>0</v>
      </c>
      <c r="G21" s="1117">
        <v>0</v>
      </c>
      <c r="H21" s="1117">
        <v>0</v>
      </c>
      <c r="I21" s="1117">
        <v>0</v>
      </c>
      <c r="J21" s="1117">
        <v>0</v>
      </c>
      <c r="K21" s="1117">
        <v>0</v>
      </c>
      <c r="L21" s="1117">
        <v>0</v>
      </c>
      <c r="M21" s="1117">
        <v>0</v>
      </c>
      <c r="N21" s="1117">
        <v>0</v>
      </c>
      <c r="O21" s="1117">
        <v>0</v>
      </c>
      <c r="P21" s="1117">
        <v>0</v>
      </c>
      <c r="Q21" s="1091">
        <f>AVERAGE(D21:P21)</f>
        <v>0</v>
      </c>
    </row>
    <row r="22" spans="1:17" ht="15.75" thickBot="1">
      <c r="A22" s="1113">
        <f t="shared" si="0"/>
        <v>193</v>
      </c>
      <c r="B22" s="1101" t="s">
        <v>730</v>
      </c>
      <c r="C22" s="1087" t="s">
        <v>731</v>
      </c>
      <c r="D22" s="1119">
        <v>0</v>
      </c>
      <c r="E22" s="1119">
        <v>0</v>
      </c>
      <c r="F22" s="1119">
        <v>0</v>
      </c>
      <c r="G22" s="1119">
        <v>0</v>
      </c>
      <c r="H22" s="1119">
        <v>0</v>
      </c>
      <c r="I22" s="1119">
        <v>0</v>
      </c>
      <c r="J22" s="1119">
        <v>0</v>
      </c>
      <c r="K22" s="1119">
        <v>0</v>
      </c>
      <c r="L22" s="1119">
        <v>0</v>
      </c>
      <c r="M22" s="1119">
        <v>0</v>
      </c>
      <c r="N22" s="1119">
        <v>0</v>
      </c>
      <c r="O22" s="1119">
        <v>0</v>
      </c>
      <c r="P22" s="1119">
        <v>0</v>
      </c>
      <c r="Q22" s="1102">
        <f>AVERAGE(D22:P22)</f>
        <v>0</v>
      </c>
    </row>
    <row r="23" spans="1:17" ht="15.75" thickBot="1">
      <c r="A23" s="1113">
        <f t="shared" si="0"/>
        <v>194</v>
      </c>
      <c r="B23" s="1088" t="str">
        <f>"Adjusted Common Equity"</f>
        <v>Adjusted Common Equity</v>
      </c>
      <c r="C23" s="1097" t="str">
        <f>"Ln "&amp; A19&amp;" - "&amp;A20&amp;" - "&amp;A21&amp;" - "&amp;A22</f>
        <v>Ln 190 - 191 - 192 - 193</v>
      </c>
      <c r="D23" s="1493">
        <f>D19-D20-D21-D22</f>
        <v>6408520.8999999994</v>
      </c>
      <c r="E23" s="1493">
        <f t="shared" ref="E23:Q23" si="2">E19-E20-E21-E22</f>
        <v>6443732.5999999996</v>
      </c>
      <c r="F23" s="1493">
        <f t="shared" si="2"/>
        <v>6473504.8499999996</v>
      </c>
      <c r="G23" s="1493">
        <f t="shared" si="2"/>
        <v>6506251.5800000001</v>
      </c>
      <c r="H23" s="1493">
        <f t="shared" si="2"/>
        <v>6087653.6600000001</v>
      </c>
      <c r="I23" s="1493">
        <f t="shared" si="2"/>
        <v>6120353.7300000004</v>
      </c>
      <c r="J23" s="1493">
        <f t="shared" si="2"/>
        <v>6437556.3799999999</v>
      </c>
      <c r="K23" s="1493">
        <f t="shared" si="2"/>
        <v>6463970.7300000004</v>
      </c>
      <c r="L23" s="1493">
        <f t="shared" si="2"/>
        <v>5898710.0199999996</v>
      </c>
      <c r="M23" s="1493">
        <f t="shared" si="2"/>
        <v>6035096.46</v>
      </c>
      <c r="N23" s="1493">
        <f t="shared" si="2"/>
        <v>5613585</v>
      </c>
      <c r="O23" s="1493">
        <f t="shared" si="2"/>
        <v>5040217.58</v>
      </c>
      <c r="P23" s="1493">
        <f t="shared" si="2"/>
        <v>4644081.55</v>
      </c>
      <c r="Q23" s="1494">
        <f t="shared" si="2"/>
        <v>6013325.7723076921</v>
      </c>
    </row>
    <row r="24" spans="1:17">
      <c r="A24" s="1113">
        <f t="shared" si="0"/>
        <v>195</v>
      </c>
      <c r="B24" s="1088"/>
      <c r="C24" s="1100"/>
      <c r="D24" s="1493"/>
      <c r="E24" s="1493"/>
      <c r="F24" s="1493"/>
      <c r="G24" s="1493"/>
      <c r="H24" s="1493"/>
      <c r="I24" s="1493"/>
      <c r="J24" s="1493"/>
      <c r="K24" s="1493"/>
      <c r="L24" s="1493"/>
      <c r="M24" s="1493"/>
      <c r="N24" s="1493"/>
      <c r="O24" s="1493"/>
      <c r="P24" s="1493"/>
      <c r="Q24" s="1495"/>
    </row>
    <row r="25" spans="1:17">
      <c r="A25" s="1113">
        <f t="shared" si="0"/>
        <v>196</v>
      </c>
      <c r="B25" s="1088" t="str">
        <f>"Total (Line "&amp;A15&amp;" plus Line "&amp;A17&amp;" plus Line "&amp;A23&amp;")"</f>
        <v>Total (Line 186 plus Line 188 plus Line 194)</v>
      </c>
      <c r="C25" s="1088"/>
      <c r="D25" s="1493">
        <f>D15+D17+D23</f>
        <v>6408520.8999999994</v>
      </c>
      <c r="E25" s="1493">
        <f t="shared" ref="E25:Q25" si="3">E15+E17+E23</f>
        <v>6443732.5999999996</v>
      </c>
      <c r="F25" s="1493">
        <f t="shared" si="3"/>
        <v>6473504.8499999996</v>
      </c>
      <c r="G25" s="1493">
        <f t="shared" si="3"/>
        <v>6506251.5800000001</v>
      </c>
      <c r="H25" s="1493">
        <f t="shared" si="3"/>
        <v>6087653.6600000001</v>
      </c>
      <c r="I25" s="1493">
        <f t="shared" si="3"/>
        <v>6120353.7300000004</v>
      </c>
      <c r="J25" s="1493">
        <f t="shared" si="3"/>
        <v>6437556.3799999999</v>
      </c>
      <c r="K25" s="1493">
        <f t="shared" si="3"/>
        <v>6463970.7300000004</v>
      </c>
      <c r="L25" s="1493">
        <f t="shared" si="3"/>
        <v>5898710.0199999996</v>
      </c>
      <c r="M25" s="1493">
        <f t="shared" si="3"/>
        <v>6035096.46</v>
      </c>
      <c r="N25" s="1493">
        <f t="shared" si="3"/>
        <v>5613585</v>
      </c>
      <c r="O25" s="1493">
        <f t="shared" si="3"/>
        <v>5040217.58</v>
      </c>
      <c r="P25" s="1493">
        <f t="shared" si="3"/>
        <v>4644081.55</v>
      </c>
      <c r="Q25" s="1495">
        <f t="shared" si="3"/>
        <v>6013325.7723076921</v>
      </c>
    </row>
    <row r="26" spans="1:17">
      <c r="A26" s="1113">
        <f t="shared" si="0"/>
        <v>197</v>
      </c>
      <c r="B26" s="1088"/>
      <c r="C26" s="1100"/>
      <c r="D26" s="1108"/>
      <c r="E26" s="1109"/>
      <c r="F26" s="1109"/>
      <c r="G26" s="1109"/>
      <c r="H26" s="1109"/>
      <c r="I26" s="1109"/>
      <c r="J26" s="1109"/>
      <c r="K26" s="1109"/>
      <c r="L26" s="1109"/>
      <c r="M26" s="1109"/>
      <c r="N26" s="1109"/>
      <c r="O26" s="1109"/>
      <c r="P26" s="1109"/>
      <c r="Q26" s="1110"/>
    </row>
    <row r="27" spans="1:17">
      <c r="A27" s="1113">
        <f t="shared" si="0"/>
        <v>198</v>
      </c>
      <c r="B27" s="1100" t="s">
        <v>732</v>
      </c>
      <c r="C27" s="1100"/>
      <c r="D27" s="1108"/>
      <c r="E27" s="1128"/>
      <c r="F27" s="1128"/>
      <c r="G27" s="1128"/>
      <c r="H27" s="1128"/>
      <c r="I27" s="1128"/>
      <c r="J27" s="1128"/>
      <c r="K27" s="1128"/>
      <c r="L27" s="1128"/>
      <c r="M27" s="1128"/>
      <c r="N27" s="1128"/>
      <c r="O27" s="1128"/>
      <c r="P27" s="1128"/>
      <c r="Q27" s="1129"/>
    </row>
    <row r="28" spans="1:17">
      <c r="A28" s="1113">
        <f t="shared" si="0"/>
        <v>199</v>
      </c>
      <c r="B28" s="1101" t="s">
        <v>733</v>
      </c>
      <c r="C28" s="1097" t="s">
        <v>734</v>
      </c>
      <c r="D28" s="599"/>
      <c r="E28" s="1109"/>
      <c r="F28" s="1108"/>
      <c r="G28" s="1108"/>
      <c r="H28" s="1108"/>
      <c r="I28" s="1108"/>
      <c r="J28" s="1108"/>
      <c r="K28" s="1108"/>
      <c r="L28" s="1108"/>
      <c r="M28" s="1108"/>
      <c r="N28" s="1108"/>
      <c r="O28" s="1108"/>
      <c r="P28" s="1120">
        <v>0</v>
      </c>
      <c r="Q28" s="1110"/>
    </row>
    <row r="29" spans="1:17">
      <c r="A29" s="1113">
        <f t="shared" si="0"/>
        <v>200</v>
      </c>
      <c r="B29" s="1101" t="s">
        <v>735</v>
      </c>
      <c r="C29" s="1087" t="s">
        <v>736</v>
      </c>
      <c r="D29" s="1122"/>
      <c r="E29" s="1109"/>
      <c r="F29" s="1108"/>
      <c r="G29" s="1108"/>
      <c r="H29" s="1108"/>
      <c r="I29" s="1108"/>
      <c r="J29" s="1108"/>
      <c r="K29" s="1108"/>
      <c r="L29" s="1108"/>
      <c r="M29" s="1108"/>
      <c r="N29" s="1108"/>
      <c r="O29" s="1108"/>
      <c r="P29" s="1120">
        <v>0</v>
      </c>
      <c r="Q29" s="1110"/>
    </row>
    <row r="30" spans="1:17">
      <c r="A30" s="1113">
        <f t="shared" si="0"/>
        <v>201</v>
      </c>
      <c r="B30" s="1101" t="s">
        <v>737</v>
      </c>
      <c r="C30" s="1087" t="s">
        <v>738</v>
      </c>
      <c r="D30" s="1122"/>
      <c r="E30" s="1109"/>
      <c r="F30" s="1108"/>
      <c r="G30" s="1108"/>
      <c r="H30" s="1108"/>
      <c r="I30" s="1108"/>
      <c r="J30" s="1108"/>
      <c r="K30" s="1108"/>
      <c r="L30" s="1108"/>
      <c r="M30" s="1108"/>
      <c r="N30" s="1108"/>
      <c r="O30" s="1108"/>
      <c r="P30" s="1120">
        <v>0</v>
      </c>
      <c r="Q30" s="1110"/>
    </row>
    <row r="31" spans="1:17">
      <c r="A31" s="1113">
        <f t="shared" si="0"/>
        <v>202</v>
      </c>
      <c r="B31" s="1103" t="s">
        <v>739</v>
      </c>
      <c r="C31" s="1097" t="s">
        <v>740</v>
      </c>
      <c r="D31" s="599"/>
      <c r="E31" s="1109"/>
      <c r="F31" s="1108"/>
      <c r="G31" s="1108"/>
      <c r="H31" s="1108"/>
      <c r="I31" s="1108"/>
      <c r="J31" s="1108"/>
      <c r="K31" s="1108"/>
      <c r="L31" s="1108"/>
      <c r="M31" s="1108"/>
      <c r="N31" s="1108"/>
      <c r="O31" s="1108"/>
      <c r="P31" s="1120">
        <v>0</v>
      </c>
      <c r="Q31" s="1110"/>
    </row>
    <row r="32" spans="1:17">
      <c r="A32" s="1113">
        <f t="shared" si="0"/>
        <v>203</v>
      </c>
      <c r="B32" s="1104" t="s">
        <v>741</v>
      </c>
      <c r="C32" s="1096" t="s">
        <v>742</v>
      </c>
      <c r="D32" s="1122"/>
      <c r="E32" s="1109"/>
      <c r="F32" s="1108"/>
      <c r="G32" s="1108"/>
      <c r="H32" s="1108"/>
      <c r="I32" s="1108"/>
      <c r="J32" s="1108"/>
      <c r="K32" s="1108"/>
      <c r="L32" s="1108"/>
      <c r="M32" s="1108"/>
      <c r="N32" s="1108"/>
      <c r="O32" s="1108"/>
      <c r="P32" s="1120">
        <v>0</v>
      </c>
      <c r="Q32" s="1110"/>
    </row>
    <row r="33" spans="1:17">
      <c r="A33" s="1113">
        <f t="shared" si="0"/>
        <v>204</v>
      </c>
      <c r="B33" s="1104" t="s">
        <v>743</v>
      </c>
      <c r="C33" s="1096" t="s">
        <v>744</v>
      </c>
      <c r="D33" s="1122"/>
      <c r="E33" s="1109"/>
      <c r="F33" s="1108"/>
      <c r="G33" s="1108"/>
      <c r="H33" s="1108"/>
      <c r="I33" s="1108"/>
      <c r="J33" s="1108"/>
      <c r="K33" s="1108"/>
      <c r="L33" s="1108"/>
      <c r="M33" s="1108"/>
      <c r="N33" s="1108"/>
      <c r="O33" s="1108"/>
      <c r="P33" s="1121">
        <v>0</v>
      </c>
      <c r="Q33" s="1110"/>
    </row>
    <row r="34" spans="1:17">
      <c r="A34" s="1113">
        <f>A33+1</f>
        <v>205</v>
      </c>
      <c r="B34" s="1101" t="s">
        <v>745</v>
      </c>
      <c r="C34" s="1097" t="str">
        <f>"Sum Lines "&amp;A28&amp;" - "&amp;A33</f>
        <v>Sum Lines 199 - 204</v>
      </c>
      <c r="D34" s="1108"/>
      <c r="E34" s="1109"/>
      <c r="F34" s="1108"/>
      <c r="G34" s="1108"/>
      <c r="H34" s="1108"/>
      <c r="I34" s="1108"/>
      <c r="J34" s="1108"/>
      <c r="K34" s="1108"/>
      <c r="L34" s="1108"/>
      <c r="M34" s="1108"/>
      <c r="N34" s="1108"/>
      <c r="O34" s="1108"/>
      <c r="P34" s="1108">
        <f>SUM(P28:P33)</f>
        <v>0</v>
      </c>
      <c r="Q34" s="1110"/>
    </row>
    <row r="35" spans="1:17" ht="15.75" thickBot="1">
      <c r="A35" s="1113">
        <f t="shared" si="0"/>
        <v>206</v>
      </c>
      <c r="B35" s="1105"/>
      <c r="C35" s="1100"/>
      <c r="D35" s="1108"/>
      <c r="E35" s="1108"/>
      <c r="F35" s="1108"/>
      <c r="G35" s="1108"/>
      <c r="H35" s="1108"/>
      <c r="I35" s="1108"/>
      <c r="J35" s="1108"/>
      <c r="K35" s="1108"/>
      <c r="L35" s="1108"/>
      <c r="M35" s="1108"/>
      <c r="N35" s="1108"/>
      <c r="O35" s="1108"/>
      <c r="P35" s="1108"/>
      <c r="Q35" s="1110"/>
    </row>
    <row r="36" spans="1:17" ht="15.75" thickBot="1">
      <c r="A36" s="1113">
        <f t="shared" si="0"/>
        <v>207</v>
      </c>
      <c r="B36" s="1105" t="str">
        <f>"Average Cost of Debt (Line "&amp;A34&amp;" / Line "&amp;A15&amp;")"</f>
        <v>Average Cost of Debt (Line 205 / Line 186)</v>
      </c>
      <c r="C36" s="1088"/>
      <c r="D36" s="1109"/>
      <c r="E36" s="1109"/>
      <c r="F36" s="1109"/>
      <c r="G36" s="1109"/>
      <c r="H36" s="1109"/>
      <c r="I36" s="1109"/>
      <c r="J36" s="1109"/>
      <c r="K36" s="1109"/>
      <c r="L36" s="1109"/>
      <c r="M36" s="1109"/>
      <c r="N36" s="1109"/>
      <c r="O36" s="1109"/>
      <c r="P36" s="1099">
        <f>IF(Q15=0,0,ROUND(P34/Q15,4))</f>
        <v>0</v>
      </c>
      <c r="Q36" s="1110"/>
    </row>
    <row r="37" spans="1:17">
      <c r="A37" s="1113">
        <f t="shared" si="0"/>
        <v>208</v>
      </c>
      <c r="B37" s="1105"/>
      <c r="C37" s="1088"/>
      <c r="D37" s="1109"/>
      <c r="E37" s="1109"/>
      <c r="F37" s="1109"/>
      <c r="G37" s="1109"/>
      <c r="H37" s="1109"/>
      <c r="I37" s="1109"/>
      <c r="J37" s="1109"/>
      <c r="K37" s="1109"/>
      <c r="L37" s="1109"/>
      <c r="M37" s="1109"/>
      <c r="N37" s="1109"/>
      <c r="O37" s="1109"/>
      <c r="P37" s="1098"/>
      <c r="Q37" s="1110"/>
    </row>
    <row r="38" spans="1:17">
      <c r="A38" s="1113">
        <f t="shared" si="0"/>
        <v>209</v>
      </c>
      <c r="B38" s="1100" t="s">
        <v>330</v>
      </c>
      <c r="C38" s="1088"/>
      <c r="D38" s="1109"/>
      <c r="E38" s="1109"/>
      <c r="F38" s="1109"/>
      <c r="G38" s="1109"/>
      <c r="H38" s="1109"/>
      <c r="I38" s="1109"/>
      <c r="J38" s="1109"/>
      <c r="K38" s="1109"/>
      <c r="L38" s="1109"/>
      <c r="M38" s="1109"/>
      <c r="N38" s="1109"/>
      <c r="O38" s="1109"/>
      <c r="P38" s="1098"/>
      <c r="Q38" s="1110"/>
    </row>
    <row r="39" spans="1:17">
      <c r="A39" s="1113">
        <f t="shared" si="0"/>
        <v>210</v>
      </c>
      <c r="B39" s="1106" t="s">
        <v>746</v>
      </c>
      <c r="C39" s="1087" t="s">
        <v>747</v>
      </c>
      <c r="D39" s="1109"/>
      <c r="E39" s="1109"/>
      <c r="F39" s="1109"/>
      <c r="G39" s="1109"/>
      <c r="H39" s="1109"/>
      <c r="I39" s="1109"/>
      <c r="J39" s="1109"/>
      <c r="K39" s="1109"/>
      <c r="L39" s="1109"/>
      <c r="M39" s="1109"/>
      <c r="N39" s="1109"/>
      <c r="O39" s="1109"/>
      <c r="P39" s="1090"/>
      <c r="Q39" s="1110"/>
    </row>
    <row r="40" spans="1:17">
      <c r="A40" s="1113">
        <f t="shared" si="0"/>
        <v>211</v>
      </c>
      <c r="B40" s="1106"/>
      <c r="C40" s="1088"/>
      <c r="D40" s="1109"/>
      <c r="E40" s="1109"/>
      <c r="F40" s="1109"/>
      <c r="G40" s="1109"/>
      <c r="H40" s="1109"/>
      <c r="I40" s="1109"/>
      <c r="J40" s="1109"/>
      <c r="K40" s="1109"/>
      <c r="L40" s="1109"/>
      <c r="M40" s="1109"/>
      <c r="N40" s="1109"/>
      <c r="O40" s="1109"/>
      <c r="P40" s="1098"/>
      <c r="Q40" s="1110"/>
    </row>
    <row r="41" spans="1:17">
      <c r="A41" s="1113">
        <f t="shared" si="0"/>
        <v>212</v>
      </c>
      <c r="B41" s="1106" t="str">
        <f>"Average Cost of Preferred Stock (Line "&amp;A39&amp;" / Line "&amp;A17&amp;")"</f>
        <v>Average Cost of Preferred Stock (Line 210 / Line 188)</v>
      </c>
      <c r="C41" s="1088"/>
      <c r="D41" s="1109"/>
      <c r="E41" s="1109"/>
      <c r="F41" s="1109"/>
      <c r="G41" s="1109"/>
      <c r="H41" s="1109"/>
      <c r="I41" s="1109"/>
      <c r="J41" s="1109"/>
      <c r="K41" s="1109"/>
      <c r="L41" s="1109"/>
      <c r="M41" s="1109"/>
      <c r="N41" s="1109"/>
      <c r="O41" s="1109"/>
      <c r="P41" s="1098">
        <f>IF(P39=0,0,ROUND(P39/Q17,4))</f>
        <v>0</v>
      </c>
      <c r="Q41" s="1110"/>
    </row>
    <row r="42" spans="1:17">
      <c r="A42" s="1113"/>
      <c r="B42" s="1106"/>
      <c r="C42" s="1086"/>
      <c r="D42" s="1109"/>
      <c r="E42" s="1109"/>
      <c r="F42" s="1109"/>
      <c r="G42" s="1109"/>
      <c r="H42" s="1109"/>
      <c r="I42" s="1109"/>
      <c r="J42" s="1109"/>
      <c r="K42" s="1109"/>
      <c r="L42" s="1109"/>
      <c r="M42" s="1109"/>
      <c r="N42" s="1109"/>
      <c r="O42" s="1109"/>
      <c r="P42" s="1098"/>
      <c r="Q42" s="1110"/>
    </row>
    <row r="43" spans="1:17">
      <c r="A43" s="1113"/>
      <c r="B43" s="1576" t="s">
        <v>748</v>
      </c>
      <c r="C43" s="1576"/>
      <c r="D43" s="1576"/>
      <c r="E43" s="1576"/>
      <c r="F43" s="1576"/>
      <c r="G43" s="1576"/>
      <c r="H43" s="1109"/>
      <c r="I43" s="1109"/>
      <c r="J43" s="1109"/>
      <c r="K43" s="1109"/>
      <c r="L43" s="1109"/>
      <c r="M43" s="1109"/>
      <c r="N43" s="1109"/>
      <c r="O43" s="1109"/>
      <c r="P43" s="1098"/>
      <c r="Q43" s="1110"/>
    </row>
    <row r="44" spans="1:17">
      <c r="A44" s="1113"/>
      <c r="B44" s="665" t="s">
        <v>749</v>
      </c>
      <c r="C44" s="1086"/>
      <c r="D44" s="1109"/>
      <c r="E44" s="1109"/>
      <c r="F44" s="1109"/>
      <c r="G44" s="1109"/>
      <c r="H44" s="1109"/>
      <c r="I44" s="1109"/>
      <c r="J44" s="1109"/>
      <c r="K44" s="1109"/>
      <c r="L44" s="1109"/>
      <c r="M44" s="1109"/>
      <c r="N44" s="1109"/>
      <c r="O44" s="1109"/>
      <c r="P44" s="1098"/>
      <c r="Q44" s="1110"/>
    </row>
    <row r="45" spans="1:17" ht="15.75" thickBot="1">
      <c r="A45" s="1115"/>
      <c r="B45" s="1107"/>
      <c r="C45" s="1107"/>
      <c r="D45" s="1130"/>
      <c r="E45" s="1130"/>
      <c r="F45" s="1130"/>
      <c r="G45" s="1130"/>
      <c r="H45" s="1130"/>
      <c r="I45" s="1130"/>
      <c r="J45" s="1130"/>
      <c r="K45" s="1130"/>
      <c r="L45" s="1130"/>
      <c r="M45" s="1130"/>
      <c r="N45" s="1130"/>
      <c r="O45" s="1130"/>
      <c r="P45" s="1130"/>
      <c r="Q45" s="1131"/>
    </row>
    <row r="46" spans="1:17">
      <c r="B46" s="344"/>
      <c r="C46" s="344"/>
      <c r="D46" s="1111"/>
      <c r="E46" s="1111"/>
      <c r="F46" s="1111"/>
      <c r="G46" s="1111"/>
      <c r="H46" s="1111"/>
      <c r="I46" s="1111"/>
      <c r="J46" s="1111"/>
      <c r="K46" s="1111"/>
      <c r="L46" s="1111"/>
      <c r="M46" s="1111"/>
      <c r="N46" s="1111"/>
      <c r="O46" s="1111"/>
      <c r="P46" s="1111"/>
      <c r="Q46" s="1111"/>
    </row>
  </sheetData>
  <mergeCells count="3">
    <mergeCell ref="A4:F4"/>
    <mergeCell ref="H4:M4"/>
    <mergeCell ref="B43:G43"/>
  </mergeCells>
  <pageMargins left="0.7" right="0.7" top="0.75" bottom="0.75" header="0.3" footer="0.3"/>
  <pageSetup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L49"/>
  <sheetViews>
    <sheetView view="pageBreakPreview" zoomScale="60" zoomScaleNormal="100" workbookViewId="0">
      <selection activeCell="E18" sqref="E18"/>
    </sheetView>
  </sheetViews>
  <sheetFormatPr defaultRowHeight="15"/>
  <cols>
    <col min="2" max="2" width="23.5546875" customWidth="1"/>
    <col min="3" max="3" width="43.77734375" customWidth="1"/>
    <col min="4" max="4" width="12.21875" bestFit="1" customWidth="1"/>
    <col min="9" max="9" width="10.77734375" bestFit="1" customWidth="1"/>
    <col min="10" max="10" width="15.44140625" customWidth="1"/>
  </cols>
  <sheetData>
    <row r="1" spans="1:10" ht="15.75">
      <c r="A1" s="679"/>
      <c r="B1" s="679" t="s">
        <v>467</v>
      </c>
      <c r="C1" s="680"/>
      <c r="D1" s="680"/>
      <c r="E1" s="680"/>
      <c r="F1" s="681" t="s">
        <v>370</v>
      </c>
      <c r="G1" s="680"/>
      <c r="H1" s="680"/>
      <c r="I1" s="680"/>
      <c r="J1" s="682"/>
    </row>
    <row r="2" spans="1:10">
      <c r="A2" s="679"/>
      <c r="B2" s="680" t="s">
        <v>390</v>
      </c>
      <c r="C2" s="680"/>
      <c r="D2" s="683" t="s">
        <v>8</v>
      </c>
      <c r="E2" s="683"/>
      <c r="F2" s="1070" t="s">
        <v>658</v>
      </c>
      <c r="G2" s="683"/>
      <c r="H2" s="683"/>
      <c r="I2" s="683"/>
      <c r="J2" s="684"/>
    </row>
    <row r="3" spans="1:10">
      <c r="A3" s="679"/>
      <c r="B3" s="685"/>
      <c r="C3" s="685"/>
      <c r="D3" s="685"/>
      <c r="E3" s="685"/>
      <c r="F3" s="685"/>
      <c r="G3" s="685"/>
      <c r="H3" s="685"/>
      <c r="I3" s="685"/>
      <c r="J3" s="685"/>
    </row>
    <row r="4" spans="1:10" ht="15.75">
      <c r="A4" s="679"/>
      <c r="B4" s="685"/>
      <c r="C4" s="685"/>
      <c r="D4" s="685"/>
      <c r="E4" s="685"/>
      <c r="F4" s="686" t="str">
        <f>+'1 - Revenue Credits'!A2</f>
        <v>MidAmerican Central California Transco, LLC</v>
      </c>
      <c r="G4" s="685"/>
      <c r="H4" s="685"/>
      <c r="I4" s="685"/>
      <c r="J4" s="685"/>
    </row>
    <row r="5" spans="1:10" ht="15.75">
      <c r="A5" s="751" t="s">
        <v>496</v>
      </c>
      <c r="B5" s="685"/>
      <c r="C5" s="685"/>
      <c r="D5" s="685"/>
      <c r="E5" s="685"/>
      <c r="F5" s="686"/>
      <c r="G5" s="685"/>
      <c r="H5" s="685"/>
      <c r="I5" s="685"/>
      <c r="J5" s="685"/>
    </row>
    <row r="6" spans="1:10" ht="15.75">
      <c r="A6" s="679"/>
      <c r="B6" s="687"/>
      <c r="C6" s="687"/>
      <c r="D6" s="687"/>
      <c r="E6" s="687"/>
      <c r="F6" s="687"/>
      <c r="G6" s="687"/>
      <c r="H6" s="687"/>
      <c r="I6" s="687"/>
      <c r="J6" s="713"/>
    </row>
    <row r="7" spans="1:10" ht="15.75">
      <c r="A7" s="679">
        <v>1</v>
      </c>
      <c r="B7" s="687" t="s">
        <v>371</v>
      </c>
      <c r="C7" s="687" t="s">
        <v>941</v>
      </c>
      <c r="D7" s="687"/>
      <c r="E7" s="687"/>
      <c r="F7" s="687"/>
      <c r="G7" s="687"/>
      <c r="H7" s="687"/>
      <c r="I7" s="687"/>
      <c r="J7" s="713">
        <f>+'Appendix III'!J89</f>
        <v>4610764.3120282516</v>
      </c>
    </row>
    <row r="8" spans="1:10" ht="15.75">
      <c r="A8" s="679"/>
      <c r="B8" s="687"/>
      <c r="C8" s="687"/>
      <c r="D8" s="687"/>
      <c r="E8" s="687"/>
      <c r="F8" s="687"/>
      <c r="G8" s="687"/>
      <c r="H8" s="687"/>
      <c r="I8" s="687"/>
      <c r="J8" s="713"/>
    </row>
    <row r="9" spans="1:10" ht="16.5" thickBot="1">
      <c r="A9" s="689">
        <f>+A7+1</f>
        <v>2</v>
      </c>
      <c r="B9" s="690" t="s">
        <v>372</v>
      </c>
      <c r="C9" s="691"/>
      <c r="D9" s="691"/>
      <c r="E9" s="691"/>
      <c r="F9" s="691"/>
      <c r="G9" s="691"/>
      <c r="H9" s="691"/>
      <c r="I9" s="692" t="s">
        <v>62</v>
      </c>
      <c r="J9" s="713"/>
    </row>
    <row r="10" spans="1:10" ht="15.75">
      <c r="A10" s="689"/>
      <c r="B10" s="693"/>
      <c r="C10" s="691"/>
      <c r="D10" s="691"/>
      <c r="E10" s="691"/>
      <c r="F10" s="691"/>
      <c r="G10" s="694" t="s">
        <v>68</v>
      </c>
      <c r="H10" s="691"/>
      <c r="I10" s="691"/>
      <c r="J10" s="713"/>
    </row>
    <row r="11" spans="1:10" ht="16.5" thickBot="1">
      <c r="A11" s="689"/>
      <c r="C11" s="693"/>
      <c r="D11" s="695" t="s">
        <v>62</v>
      </c>
      <c r="E11" s="695" t="s">
        <v>69</v>
      </c>
      <c r="F11" s="691"/>
      <c r="G11" s="1071" t="s">
        <v>497</v>
      </c>
      <c r="H11" s="691"/>
      <c r="I11" s="695" t="s">
        <v>70</v>
      </c>
      <c r="J11" s="713"/>
    </row>
    <row r="12" spans="1:10" ht="15.75">
      <c r="A12" s="689">
        <f>+A9+1</f>
        <v>3</v>
      </c>
      <c r="B12" s="690" t="s">
        <v>431</v>
      </c>
      <c r="C12" s="693" t="s">
        <v>942</v>
      </c>
      <c r="D12" s="699">
        <f>+'Appendix III'!E200</f>
        <v>0</v>
      </c>
      <c r="E12" s="688">
        <f>+'Appendix III'!F200</f>
        <v>0.48</v>
      </c>
      <c r="F12" s="697"/>
      <c r="G12" s="870">
        <f>+'Appendix III'!H200</f>
        <v>2.9500000000000002E-2</v>
      </c>
      <c r="H12" s="698"/>
      <c r="I12" s="857">
        <f>E12*G12</f>
        <v>1.4160000000000001E-2</v>
      </c>
      <c r="J12" s="713"/>
    </row>
    <row r="13" spans="1:10" ht="15.75">
      <c r="A13" s="689">
        <f>+A12+1</f>
        <v>4</v>
      </c>
      <c r="B13" s="690" t="s">
        <v>432</v>
      </c>
      <c r="C13" s="693" t="s">
        <v>943</v>
      </c>
      <c r="D13" s="699">
        <f>+'Appendix III'!E201</f>
        <v>0</v>
      </c>
      <c r="E13" s="688">
        <f>+'Appendix III'!F201</f>
        <v>0</v>
      </c>
      <c r="F13" s="697"/>
      <c r="G13" s="870">
        <f>+'Appendix III'!H201</f>
        <v>0</v>
      </c>
      <c r="H13" s="698"/>
      <c r="I13" s="857">
        <f>E13*G13</f>
        <v>0</v>
      </c>
      <c r="J13" s="713"/>
    </row>
    <row r="14" spans="1:10" ht="16.5" thickBot="1">
      <c r="A14" s="689">
        <f>+A13+1</f>
        <v>5</v>
      </c>
      <c r="B14" s="690" t="s">
        <v>944</v>
      </c>
      <c r="C14" s="698"/>
      <c r="D14" s="1513">
        <f>+'Appendix III'!E202</f>
        <v>6013325.7723076921</v>
      </c>
      <c r="E14" s="688">
        <f>+'Appendix III'!F202</f>
        <v>0.52</v>
      </c>
      <c r="F14" s="697"/>
      <c r="G14" s="870">
        <f>+'Appendix III'!H202+0.01</f>
        <v>0.11299999999999999</v>
      </c>
      <c r="H14" s="698"/>
      <c r="I14" s="858">
        <f>E14*G14</f>
        <v>5.876E-2</v>
      </c>
      <c r="J14" s="713"/>
    </row>
    <row r="15" spans="1:10" ht="15.75">
      <c r="A15" s="689">
        <f>+A14+1</f>
        <v>6</v>
      </c>
      <c r="B15" s="693" t="s">
        <v>458</v>
      </c>
      <c r="C15" s="698"/>
      <c r="D15" s="1514">
        <f>SUM(D12:D14)</f>
        <v>6013325.7723076921</v>
      </c>
      <c r="E15" s="691" t="s">
        <v>8</v>
      </c>
      <c r="F15" s="691"/>
      <c r="G15" s="691"/>
      <c r="H15" s="691"/>
      <c r="I15" s="857">
        <f>SUM(I12:I14)</f>
        <v>7.2919999999999999E-2</v>
      </c>
      <c r="J15" s="713"/>
    </row>
    <row r="16" spans="1:10" ht="15.75">
      <c r="A16" s="689">
        <f t="shared" ref="A16:A38" si="0">+A15+1</f>
        <v>7</v>
      </c>
      <c r="B16" s="693" t="s">
        <v>373</v>
      </c>
      <c r="C16" s="698"/>
      <c r="D16" s="699"/>
      <c r="E16" s="691"/>
      <c r="F16" s="691"/>
      <c r="G16" s="691"/>
      <c r="H16" s="691"/>
      <c r="I16" s="697"/>
      <c r="J16" s="713">
        <f>+I15*J7</f>
        <v>336216.93363310013</v>
      </c>
    </row>
    <row r="17" spans="1:12" ht="15.75">
      <c r="A17" s="689"/>
      <c r="B17" s="687"/>
      <c r="C17" s="687"/>
      <c r="D17" s="687"/>
      <c r="E17" s="687"/>
      <c r="F17" s="687"/>
      <c r="G17" s="687"/>
      <c r="H17" s="687"/>
      <c r="I17" s="687"/>
      <c r="J17" s="713"/>
    </row>
    <row r="18" spans="1:12" ht="15.75">
      <c r="A18" s="689">
        <f>+A16+1</f>
        <v>8</v>
      </c>
      <c r="B18" s="693" t="s">
        <v>53</v>
      </c>
      <c r="C18" s="700"/>
      <c r="D18" s="691"/>
      <c r="E18" s="691"/>
      <c r="F18" s="698"/>
      <c r="G18" s="701"/>
      <c r="H18" s="691"/>
      <c r="I18" s="698"/>
      <c r="J18" s="713"/>
    </row>
    <row r="19" spans="1:12" ht="15.75">
      <c r="A19" s="689">
        <f t="shared" si="0"/>
        <v>9</v>
      </c>
      <c r="B19" s="56" t="s">
        <v>54</v>
      </c>
      <c r="C19" s="11"/>
      <c r="D19" s="436">
        <f>+'Appendix III'!E141</f>
        <v>0.27983599999999997</v>
      </c>
      <c r="E19" s="691"/>
      <c r="F19" s="698"/>
      <c r="G19" s="701"/>
      <c r="H19" s="691"/>
      <c r="I19" s="698"/>
      <c r="J19" s="713"/>
    </row>
    <row r="20" spans="1:12" ht="15.75">
      <c r="A20" s="689">
        <f t="shared" si="0"/>
        <v>10</v>
      </c>
      <c r="B20" s="1" t="s">
        <v>55</v>
      </c>
      <c r="C20" s="11"/>
      <c r="D20" s="436">
        <f>IF(I15&gt;0,(D19/(1-D19))*(1-I12/I15),0)</f>
        <v>0.31311747321478484</v>
      </c>
      <c r="E20" s="691"/>
      <c r="F20" s="698"/>
      <c r="G20" s="701"/>
      <c r="H20" s="691"/>
      <c r="I20" s="698"/>
      <c r="J20" s="713"/>
    </row>
    <row r="21" spans="1:12" ht="15.75">
      <c r="A21" s="689">
        <f t="shared" si="0"/>
        <v>11</v>
      </c>
      <c r="B21" s="18" t="str">
        <f>"       where WCLTD=(line "&amp;A12&amp;") and R= (line "&amp;A15&amp;")"</f>
        <v xml:space="preserve">       where WCLTD=(line 3) and R= (line 6)</v>
      </c>
      <c r="C21" s="11"/>
      <c r="D21" s="11"/>
      <c r="E21" s="691"/>
      <c r="F21" s="698"/>
      <c r="G21" s="701"/>
      <c r="H21" s="691"/>
      <c r="I21" s="698"/>
      <c r="J21" s="713"/>
    </row>
    <row r="22" spans="1:12" ht="15.75">
      <c r="A22" s="689">
        <f t="shared" si="0"/>
        <v>12</v>
      </c>
      <c r="B22" s="18" t="str">
        <f>"       and FIT, SIT &amp; p are as given in footnote "&amp;'Appendix III'!A246&amp;" on Appendix III."</f>
        <v xml:space="preserve">       and FIT, SIT &amp; p are as given in footnote F on Appendix III.</v>
      </c>
      <c r="C22" s="11"/>
      <c r="D22" s="11"/>
      <c r="E22" s="691"/>
      <c r="F22" s="698"/>
      <c r="G22" s="701"/>
      <c r="H22" s="691"/>
      <c r="I22" s="698"/>
      <c r="J22" s="713"/>
    </row>
    <row r="23" spans="1:12" ht="15.75">
      <c r="A23" s="689">
        <f t="shared" si="0"/>
        <v>13</v>
      </c>
      <c r="B23" s="56" t="str">
        <f>"      1 / (1 - T)  = (T from line "&amp;A19&amp;")"</f>
        <v xml:space="preserve">      1 / (1 - T)  = (T from line 9)</v>
      </c>
      <c r="C23" s="11"/>
      <c r="D23" s="436">
        <f>IF(D19&gt;0,1/(1-D19),0)</f>
        <v>1.3885726029071155</v>
      </c>
      <c r="E23" s="691"/>
      <c r="F23" s="698"/>
      <c r="G23" s="701"/>
      <c r="H23" s="691"/>
      <c r="I23" s="698"/>
      <c r="J23" s="713"/>
    </row>
    <row r="24" spans="1:12" ht="15.75">
      <c r="A24" s="689">
        <f t="shared" si="0"/>
        <v>14</v>
      </c>
      <c r="B24" s="18" t="s">
        <v>56</v>
      </c>
      <c r="C24" s="11"/>
      <c r="D24" s="186">
        <f>+'Appendix III'!E146</f>
        <v>0</v>
      </c>
      <c r="E24" s="691"/>
      <c r="F24" s="698"/>
      <c r="G24" s="701"/>
      <c r="H24" s="691"/>
      <c r="I24" s="698"/>
      <c r="J24" s="713"/>
    </row>
    <row r="25" spans="1:12" ht="15.75">
      <c r="A25" s="689">
        <f t="shared" si="0"/>
        <v>15</v>
      </c>
      <c r="B25" s="18"/>
      <c r="C25" s="11"/>
      <c r="D25" s="175"/>
      <c r="E25" s="691"/>
      <c r="F25" s="698"/>
      <c r="G25" s="702"/>
      <c r="H25" s="691"/>
      <c r="I25" s="698"/>
      <c r="J25" s="713"/>
    </row>
    <row r="26" spans="1:12" ht="15.75">
      <c r="A26" s="689">
        <f t="shared" si="0"/>
        <v>16</v>
      </c>
      <c r="B26" s="56" t="str">
        <f>"Income Tax Calculation = line "&amp;A20&amp;" * line "&amp;A16&amp;""</f>
        <v>Income Tax Calculation = line 10 * line 7</v>
      </c>
      <c r="C26" s="57"/>
      <c r="D26" s="124">
        <f>+J16*D20</f>
        <v>105275.39671121932</v>
      </c>
      <c r="E26" s="691"/>
      <c r="F26" s="704"/>
      <c r="G26" s="705"/>
      <c r="H26" s="704"/>
      <c r="I26" s="175">
        <f>+J16*D20</f>
        <v>105275.39671121932</v>
      </c>
      <c r="J26" s="679"/>
    </row>
    <row r="27" spans="1:12" ht="15.75">
      <c r="A27" s="689">
        <f t="shared" si="0"/>
        <v>17</v>
      </c>
      <c r="B27" s="423" t="str">
        <f>"ITC adjustment (line "&amp;A23&amp;" * line "&amp;A24&amp;") and line 17 allocated on NP allocator"</f>
        <v>ITC adjustment (line 13 * line 14) and line 17 allocated on NP allocator</v>
      </c>
      <c r="C27" s="424"/>
      <c r="D27" s="419">
        <f>+D23*D24</f>
        <v>0</v>
      </c>
      <c r="E27" s="704"/>
      <c r="F27" s="707" t="s">
        <v>38</v>
      </c>
      <c r="G27" s="688">
        <f>+'Appendix III'!H70</f>
        <v>1</v>
      </c>
      <c r="H27" s="704"/>
      <c r="I27" s="702">
        <f>G27*D27</f>
        <v>0</v>
      </c>
      <c r="J27" s="713"/>
    </row>
    <row r="28" spans="1:12" ht="15.75">
      <c r="A28" s="689">
        <f t="shared" si="0"/>
        <v>18</v>
      </c>
      <c r="B28" s="59" t="s">
        <v>57</v>
      </c>
      <c r="C28" s="1" t="str">
        <f>"(line "&amp;A26&amp;" plus line "&amp;A27&amp;")"</f>
        <v>(line 16 plus line 17)</v>
      </c>
      <c r="D28" s="185">
        <f>+D27+D26</f>
        <v>105275.39671121932</v>
      </c>
      <c r="E28" s="704"/>
      <c r="J28" s="713">
        <f>+I27+I26</f>
        <v>105275.39671121932</v>
      </c>
    </row>
    <row r="29" spans="1:12" ht="15.75">
      <c r="A29" s="689"/>
      <c r="B29" s="696"/>
      <c r="C29" s="703"/>
      <c r="D29" s="706"/>
      <c r="E29" s="704"/>
      <c r="F29" s="707"/>
      <c r="G29" s="688"/>
      <c r="H29" s="704"/>
      <c r="I29" s="706"/>
      <c r="J29" s="713"/>
    </row>
    <row r="30" spans="1:12" ht="15.75">
      <c r="A30" s="689"/>
      <c r="B30" s="687"/>
      <c r="C30" s="687"/>
      <c r="D30" s="687"/>
      <c r="E30" s="687"/>
      <c r="F30" s="687"/>
      <c r="G30" s="687"/>
      <c r="H30" s="687"/>
      <c r="I30" s="687"/>
      <c r="J30" s="713"/>
      <c r="K30" s="687"/>
      <c r="L30" s="687"/>
    </row>
    <row r="31" spans="1:12" ht="15.75">
      <c r="A31" s="689">
        <f>+A28+1</f>
        <v>19</v>
      </c>
      <c r="B31" s="696" t="s">
        <v>374</v>
      </c>
      <c r="C31" s="687"/>
      <c r="D31" s="687"/>
      <c r="E31" s="687" t="s">
        <v>455</v>
      </c>
      <c r="F31" s="687"/>
      <c r="G31" s="687"/>
      <c r="H31" s="687"/>
      <c r="I31" s="687"/>
      <c r="J31" s="713">
        <f>+J28+J16</f>
        <v>441492.33034431946</v>
      </c>
      <c r="K31" s="687"/>
      <c r="L31" s="687"/>
    </row>
    <row r="32" spans="1:12" ht="15.75">
      <c r="A32" s="832"/>
      <c r="B32" s="687"/>
      <c r="C32" s="687"/>
      <c r="D32" s="687"/>
      <c r="E32" s="687"/>
      <c r="F32" s="687"/>
      <c r="G32" s="687"/>
      <c r="H32" s="687"/>
      <c r="I32" s="687"/>
      <c r="J32" s="713"/>
      <c r="K32" s="687"/>
      <c r="L32" s="687"/>
    </row>
    <row r="33" spans="1:12" ht="15.75">
      <c r="A33" s="832">
        <f>+A31+1</f>
        <v>20</v>
      </c>
      <c r="B33" s="687" t="str">
        <f>"Return    (Appendix III line "&amp;'Appendix III'!A153&amp;" col 5)"</f>
        <v>Return    (Appendix III line 64 col 5)</v>
      </c>
      <c r="C33" s="687"/>
      <c r="D33" s="687"/>
      <c r="E33" s="687"/>
      <c r="F33" s="687"/>
      <c r="G33" s="687"/>
      <c r="H33" s="687"/>
      <c r="I33" s="687"/>
      <c r="J33" s="713">
        <f>+'Appendix III'!J153</f>
        <v>312240.95921055321</v>
      </c>
      <c r="K33" s="687"/>
      <c r="L33" s="687"/>
    </row>
    <row r="34" spans="1:12" ht="15.75">
      <c r="A34" s="832">
        <f t="shared" si="0"/>
        <v>21</v>
      </c>
      <c r="B34" s="687" t="str">
        <f>"Income Tax    (Appendix III line "&amp;'Appendix III'!A150&amp;" col 5)"</f>
        <v>Income Tax    (Appendix III line 62 col 5)</v>
      </c>
      <c r="C34" s="687"/>
      <c r="D34" s="687"/>
      <c r="E34" s="687"/>
      <c r="F34" s="687"/>
      <c r="G34" s="687"/>
      <c r="H34" s="687"/>
      <c r="I34" s="687"/>
      <c r="J34" s="713">
        <f>+'Appendix III'!J150</f>
        <v>95958.98992261583</v>
      </c>
      <c r="K34" s="687"/>
      <c r="L34" s="687"/>
    </row>
    <row r="35" spans="1:12" ht="15.75">
      <c r="A35" s="832">
        <f t="shared" si="0"/>
        <v>22</v>
      </c>
      <c r="B35" s="696" t="s">
        <v>375</v>
      </c>
      <c r="C35" s="687"/>
      <c r="D35" s="687"/>
      <c r="E35" s="687" t="s">
        <v>421</v>
      </c>
      <c r="F35" s="687"/>
      <c r="G35" s="687"/>
      <c r="H35" s="687"/>
      <c r="I35" s="687"/>
      <c r="J35" s="1315">
        <f>+J33+J34</f>
        <v>408199.94913316902</v>
      </c>
      <c r="K35" s="687"/>
      <c r="L35" s="687"/>
    </row>
    <row r="36" spans="1:12" ht="15.75">
      <c r="A36" s="832">
        <f t="shared" si="0"/>
        <v>23</v>
      </c>
      <c r="B36" s="696" t="s">
        <v>376</v>
      </c>
      <c r="C36" s="687"/>
      <c r="D36" s="687"/>
      <c r="E36" s="687" t="s">
        <v>422</v>
      </c>
      <c r="F36" s="687"/>
      <c r="G36" s="687"/>
      <c r="H36" s="687"/>
      <c r="I36" s="687"/>
      <c r="J36" s="713">
        <f>+J31-J35</f>
        <v>33292.381211150438</v>
      </c>
      <c r="K36" s="687"/>
      <c r="L36" s="687"/>
    </row>
    <row r="37" spans="1:12" ht="15.75">
      <c r="A37" s="832">
        <f t="shared" si="0"/>
        <v>24</v>
      </c>
      <c r="B37" s="687" t="s">
        <v>397</v>
      </c>
      <c r="C37" s="687"/>
      <c r="D37" s="687"/>
      <c r="E37" s="687" t="str">
        <f>"Appendix III, line "&amp;'Appendix III'!A$212&amp;"a"</f>
        <v>Appendix III, line 88a</v>
      </c>
      <c r="F37" s="687"/>
      <c r="G37" s="687"/>
      <c r="H37" s="687"/>
      <c r="I37" s="687"/>
      <c r="J37" s="713">
        <f>+'Appendix III'!H212</f>
        <v>6770302.1642105263</v>
      </c>
      <c r="K37" s="687"/>
      <c r="L37" s="687"/>
    </row>
    <row r="38" spans="1:12" ht="15.75">
      <c r="A38" s="832">
        <f t="shared" si="0"/>
        <v>25</v>
      </c>
      <c r="B38" s="687" t="s">
        <v>389</v>
      </c>
      <c r="C38" s="687"/>
      <c r="D38" s="687"/>
      <c r="E38" s="687" t="s">
        <v>466</v>
      </c>
      <c r="F38" s="687"/>
      <c r="G38" s="687"/>
      <c r="H38" s="687"/>
      <c r="I38" s="687"/>
      <c r="J38" s="713">
        <f>IF(J37=0,0,J36/J37)</f>
        <v>4.9174143788060318E-3</v>
      </c>
      <c r="K38" s="687"/>
      <c r="L38" s="687"/>
    </row>
    <row r="39" spans="1:12" ht="15.75">
      <c r="A39" s="687"/>
      <c r="B39" s="687"/>
      <c r="C39" s="687"/>
      <c r="D39" s="687"/>
      <c r="E39" s="687"/>
      <c r="F39" s="687"/>
      <c r="G39" s="687"/>
      <c r="H39" s="687"/>
      <c r="I39" s="687"/>
      <c r="J39" s="713"/>
      <c r="K39" s="687"/>
      <c r="L39" s="687"/>
    </row>
    <row r="40" spans="1:12" ht="15.75">
      <c r="A40" s="123" t="s">
        <v>753</v>
      </c>
      <c r="B40" s="687"/>
      <c r="C40" s="687"/>
      <c r="D40" s="687"/>
      <c r="E40" s="687"/>
      <c r="F40" s="687"/>
      <c r="G40" s="687"/>
      <c r="H40" s="687"/>
      <c r="I40" s="687"/>
      <c r="J40" s="687"/>
      <c r="K40" s="687"/>
      <c r="L40" s="687"/>
    </row>
    <row r="41" spans="1:12" ht="15.75">
      <c r="A41" s="123" t="s">
        <v>751</v>
      </c>
      <c r="B41" s="687"/>
      <c r="C41" s="687"/>
      <c r="D41" s="687"/>
      <c r="E41" s="687"/>
      <c r="F41" s="687"/>
      <c r="G41" s="687"/>
      <c r="H41" s="687"/>
      <c r="I41" s="687"/>
      <c r="J41" s="687"/>
      <c r="K41" s="687"/>
      <c r="L41" s="687"/>
    </row>
    <row r="42" spans="1:12" ht="15.75">
      <c r="A42" s="123" t="s">
        <v>752</v>
      </c>
      <c r="B42" s="687"/>
      <c r="C42" s="687"/>
      <c r="D42" s="687"/>
      <c r="E42" s="687"/>
      <c r="F42" s="687"/>
      <c r="G42" s="687"/>
      <c r="H42" s="687"/>
      <c r="I42" s="687"/>
      <c r="J42" s="687"/>
      <c r="K42" s="687"/>
      <c r="L42" s="687"/>
    </row>
    <row r="43" spans="1:12" ht="15.75">
      <c r="A43" s="123"/>
      <c r="B43" s="687"/>
      <c r="C43" s="687"/>
      <c r="D43" s="687"/>
      <c r="E43" s="687"/>
      <c r="F43" s="687"/>
      <c r="G43" s="687"/>
      <c r="H43" s="687"/>
      <c r="I43" s="687"/>
      <c r="J43" s="687"/>
      <c r="K43" s="687"/>
      <c r="L43" s="687"/>
    </row>
    <row r="44" spans="1:12" ht="15.75">
      <c r="A44" s="1069"/>
      <c r="B44" s="687" t="s">
        <v>599</v>
      </c>
    </row>
    <row r="45" spans="1:12" ht="15.75">
      <c r="A45" s="1069"/>
      <c r="B45" s="963" t="s">
        <v>600</v>
      </c>
      <c r="C45" s="964" t="s">
        <v>459</v>
      </c>
    </row>
    <row r="46" spans="1:12">
      <c r="A46" s="1069"/>
      <c r="B46" s="965"/>
      <c r="C46" s="965"/>
    </row>
    <row r="47" spans="1:12">
      <c r="A47" s="1069"/>
      <c r="B47" s="965"/>
      <c r="C47" s="965"/>
    </row>
    <row r="48" spans="1:12">
      <c r="A48" s="1069"/>
      <c r="B48" s="965"/>
      <c r="C48" s="965"/>
    </row>
    <row r="49" spans="1:1">
      <c r="A49" s="1069"/>
    </row>
  </sheetData>
  <pageMargins left="0.7" right="0.7" top="0.75" bottom="0.75" header="0.3" footer="0.3"/>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L238"/>
  <sheetViews>
    <sheetView view="pageBreakPreview" topLeftCell="A22" zoomScale="60" zoomScaleNormal="100" workbookViewId="0">
      <selection activeCell="G22" sqref="G22"/>
    </sheetView>
  </sheetViews>
  <sheetFormatPr defaultColWidth="8.77734375" defaultRowHeight="12.75"/>
  <cols>
    <col min="1" max="1" width="8.77734375" style="121"/>
    <col min="2" max="2" width="33.44140625" style="123" customWidth="1"/>
    <col min="3" max="3" width="10.5546875" style="119" customWidth="1"/>
    <col min="4" max="4" width="12.77734375" style="121" customWidth="1"/>
    <col min="5" max="5" width="14.77734375" style="121" bestFit="1" customWidth="1"/>
    <col min="6" max="6" width="12.77734375" style="119" customWidth="1"/>
    <col min="7" max="7" width="33.109375" style="119" customWidth="1"/>
    <col min="8" max="8" width="14" style="119" customWidth="1"/>
    <col min="9" max="9" width="16" style="119" customWidth="1"/>
    <col min="10" max="10" width="17.109375" style="119" customWidth="1"/>
    <col min="11" max="11" width="16" style="119" customWidth="1"/>
    <col min="12" max="16384" width="8.77734375" style="119"/>
  </cols>
  <sheetData>
    <row r="1" spans="1:12">
      <c r="A1" s="770"/>
      <c r="B1" s="771"/>
      <c r="C1" s="772"/>
      <c r="D1" s="770"/>
      <c r="E1" s="770"/>
      <c r="F1" s="772"/>
      <c r="G1" s="772"/>
      <c r="H1" s="772"/>
      <c r="I1" s="772"/>
      <c r="J1" s="772"/>
      <c r="K1" s="772"/>
    </row>
    <row r="2" spans="1:12" ht="18.75">
      <c r="A2" s="810" t="s">
        <v>287</v>
      </c>
      <c r="B2" s="810"/>
      <c r="C2" s="810"/>
      <c r="D2" s="810"/>
      <c r="E2" s="810"/>
      <c r="F2" s="810"/>
      <c r="G2" s="810"/>
      <c r="H2" s="810"/>
      <c r="I2" s="810"/>
      <c r="J2" s="810"/>
      <c r="K2" s="772"/>
    </row>
    <row r="3" spans="1:12" ht="18.75">
      <c r="A3" s="810" t="str">
        <f>'Appendix III'!$E$8</f>
        <v>MidAmerican Central California Transco, LLC</v>
      </c>
      <c r="B3" s="810"/>
      <c r="C3" s="810"/>
      <c r="D3" s="810"/>
      <c r="E3" s="810"/>
      <c r="F3" s="810"/>
      <c r="G3" s="810"/>
      <c r="H3" s="810"/>
      <c r="I3" s="810"/>
      <c r="J3" s="810"/>
      <c r="K3" s="772"/>
    </row>
    <row r="4" spans="1:12">
      <c r="A4" s="770"/>
      <c r="B4" s="771"/>
      <c r="C4" s="772"/>
      <c r="D4" s="770"/>
      <c r="E4" s="770"/>
      <c r="F4" s="772"/>
      <c r="G4" s="772"/>
      <c r="H4" s="773"/>
      <c r="I4" s="773"/>
      <c r="J4" s="770"/>
      <c r="K4" s="772"/>
    </row>
    <row r="5" spans="1:12" ht="15.75">
      <c r="A5" s="833">
        <v>1</v>
      </c>
      <c r="B5" s="714" t="s">
        <v>954</v>
      </c>
      <c r="C5" s="729"/>
      <c r="D5" s="714"/>
      <c r="E5" s="714"/>
      <c r="F5" s="733"/>
      <c r="G5" s="730" t="s">
        <v>761</v>
      </c>
      <c r="I5" s="730"/>
      <c r="J5" s="1488">
        <f>+'Appendix III'!J155</f>
        <v>2503279.3211486586</v>
      </c>
      <c r="K5" s="772"/>
    </row>
    <row r="6" spans="1:12" ht="15.75">
      <c r="A6" s="833">
        <v>2</v>
      </c>
      <c r="B6" s="714" t="s">
        <v>429</v>
      </c>
      <c r="C6" s="729"/>
      <c r="D6" s="714"/>
      <c r="E6" s="714"/>
      <c r="F6" s="733"/>
      <c r="G6" s="731" t="s">
        <v>1034</v>
      </c>
      <c r="I6" s="730"/>
      <c r="J6" s="1488">
        <f>+'Appendix III'!E125+'Appendix III'!E127+'2a - Cost Support'!E140*'2a - Cost Support'!E141</f>
        <v>1933869.1894736846</v>
      </c>
      <c r="K6" s="772"/>
    </row>
    <row r="7" spans="1:12" ht="15.75">
      <c r="A7" s="833">
        <v>3</v>
      </c>
      <c r="B7" s="714" t="s">
        <v>392</v>
      </c>
      <c r="C7" s="729"/>
      <c r="D7" s="714"/>
      <c r="E7" s="714"/>
      <c r="F7" s="733"/>
      <c r="G7" s="732" t="s">
        <v>463</v>
      </c>
      <c r="I7" s="730"/>
      <c r="J7" s="1488">
        <f>+J5-J6</f>
        <v>569410.13167497399</v>
      </c>
      <c r="K7" s="772"/>
    </row>
    <row r="8" spans="1:12" ht="15.75">
      <c r="A8" s="833">
        <v>4</v>
      </c>
      <c r="B8" s="687" t="s">
        <v>522</v>
      </c>
      <c r="C8" s="729"/>
      <c r="D8" s="714"/>
      <c r="E8" s="714"/>
      <c r="F8" s="733"/>
      <c r="G8" s="732" t="str">
        <f>"(Appendix III, line "&amp;'Appendix III'!A212&amp;" (a))"</f>
        <v>(Appendix III, line 88 (a))</v>
      </c>
      <c r="I8" s="731"/>
      <c r="J8" s="1488">
        <f>+'Appendix III'!H212</f>
        <v>6770302.1642105263</v>
      </c>
      <c r="K8" s="772"/>
    </row>
    <row r="9" spans="1:12" ht="15.75">
      <c r="A9" s="833">
        <v>5</v>
      </c>
      <c r="B9" s="715" t="s">
        <v>385</v>
      </c>
      <c r="C9" s="729"/>
      <c r="E9" s="714"/>
      <c r="F9" s="733"/>
      <c r="G9" s="714" t="s">
        <v>462</v>
      </c>
      <c r="I9" s="842"/>
      <c r="J9" s="842">
        <f>IF(J8=0,0,J7/J8)</f>
        <v>8.410409430246929E-2</v>
      </c>
      <c r="K9" s="772"/>
    </row>
    <row r="10" spans="1:12" ht="15.75">
      <c r="A10" s="833">
        <v>6</v>
      </c>
      <c r="B10" s="687" t="s">
        <v>389</v>
      </c>
      <c r="C10" s="729"/>
      <c r="D10" s="856"/>
      <c r="E10" s="714"/>
      <c r="F10" s="733"/>
      <c r="G10" s="714" t="s">
        <v>494</v>
      </c>
      <c r="I10" s="843"/>
      <c r="J10" s="843">
        <f>+'3 - Incentives'!J38</f>
        <v>4.9174143788060318E-3</v>
      </c>
      <c r="K10" s="772"/>
    </row>
    <row r="11" spans="1:12" ht="15.75">
      <c r="A11" s="833"/>
      <c r="B11" s="771"/>
      <c r="C11" s="774"/>
      <c r="D11" s="770"/>
      <c r="E11" s="770"/>
      <c r="F11" s="772"/>
      <c r="G11" s="772"/>
      <c r="H11" s="772"/>
      <c r="I11" s="772"/>
      <c r="J11" s="772"/>
      <c r="K11" s="772"/>
    </row>
    <row r="12" spans="1:12">
      <c r="A12" s="833"/>
      <c r="B12" s="771"/>
      <c r="C12" s="775"/>
      <c r="D12" s="770"/>
      <c r="E12" s="770"/>
      <c r="F12" s="772"/>
      <c r="G12" s="772"/>
      <c r="H12" s="772"/>
      <c r="I12" s="772"/>
      <c r="J12" s="772"/>
      <c r="K12" s="772"/>
    </row>
    <row r="13" spans="1:12">
      <c r="A13" s="833"/>
      <c r="B13" s="771"/>
      <c r="C13" s="775"/>
      <c r="D13" s="770"/>
      <c r="E13" s="770"/>
      <c r="F13" s="772"/>
      <c r="G13" s="772"/>
      <c r="H13" s="772"/>
      <c r="I13" s="772"/>
      <c r="J13" s="772"/>
      <c r="K13" s="772"/>
    </row>
    <row r="14" spans="1:12">
      <c r="A14" s="833"/>
      <c r="B14" s="771"/>
      <c r="C14" s="772"/>
      <c r="D14" s="770"/>
      <c r="E14" s="770"/>
      <c r="F14" s="772"/>
      <c r="G14" s="772"/>
      <c r="H14" s="772"/>
      <c r="I14" s="772"/>
      <c r="J14" s="772"/>
      <c r="K14" s="772"/>
    </row>
    <row r="15" spans="1:12">
      <c r="A15" s="833"/>
      <c r="B15" s="776" t="s">
        <v>399</v>
      </c>
      <c r="C15" s="776" t="s">
        <v>400</v>
      </c>
      <c r="D15" s="776" t="s">
        <v>401</v>
      </c>
      <c r="E15" s="776" t="s">
        <v>402</v>
      </c>
      <c r="F15" s="776" t="s">
        <v>403</v>
      </c>
      <c r="G15" s="776" t="s">
        <v>404</v>
      </c>
      <c r="H15" s="776" t="s">
        <v>405</v>
      </c>
      <c r="I15" s="776" t="s">
        <v>406</v>
      </c>
      <c r="J15" s="776" t="s">
        <v>407</v>
      </c>
      <c r="K15" s="776" t="s">
        <v>495</v>
      </c>
      <c r="L15" s="724"/>
    </row>
    <row r="16" spans="1:12">
      <c r="A16" s="833"/>
      <c r="B16" s="771"/>
      <c r="C16" s="772"/>
      <c r="D16" s="770"/>
      <c r="E16" s="770"/>
      <c r="F16" s="772"/>
      <c r="G16" s="846"/>
      <c r="H16" s="847"/>
      <c r="I16" s="847"/>
      <c r="J16" s="848"/>
      <c r="K16" s="848"/>
    </row>
    <row r="17" spans="1:12" ht="51">
      <c r="A17" s="834"/>
      <c r="B17" s="777" t="s">
        <v>499</v>
      </c>
      <c r="C17" s="778" t="s">
        <v>386</v>
      </c>
      <c r="D17" s="779" t="s">
        <v>383</v>
      </c>
      <c r="E17" s="779" t="s">
        <v>393</v>
      </c>
      <c r="F17" s="779" t="s">
        <v>408</v>
      </c>
      <c r="G17" s="1577" t="s">
        <v>419</v>
      </c>
      <c r="H17" s="1578"/>
      <c r="I17" s="1579"/>
      <c r="J17" s="780" t="s">
        <v>420</v>
      </c>
      <c r="K17" s="780" t="s">
        <v>525</v>
      </c>
    </row>
    <row r="18" spans="1:12" ht="40.5" customHeight="1">
      <c r="A18" s="834"/>
      <c r="B18" s="781"/>
      <c r="C18" s="782"/>
      <c r="D18" s="782" t="s">
        <v>523</v>
      </c>
      <c r="E18" s="782" t="s">
        <v>384</v>
      </c>
      <c r="F18" s="782" t="s">
        <v>136</v>
      </c>
      <c r="G18" s="783" t="s">
        <v>423</v>
      </c>
      <c r="H18" s="784" t="s">
        <v>426</v>
      </c>
      <c r="I18" s="785" t="s">
        <v>272</v>
      </c>
      <c r="J18" s="785" t="s">
        <v>272</v>
      </c>
      <c r="K18" s="785" t="s">
        <v>526</v>
      </c>
    </row>
    <row r="19" spans="1:12">
      <c r="A19" s="834"/>
      <c r="B19" s="786"/>
      <c r="C19" s="787"/>
      <c r="D19" s="787"/>
      <c r="E19" s="787"/>
      <c r="F19" s="787"/>
      <c r="G19" s="788"/>
      <c r="H19" s="789"/>
      <c r="I19" s="790" t="s">
        <v>424</v>
      </c>
      <c r="J19" s="790" t="s">
        <v>425</v>
      </c>
      <c r="K19" s="790"/>
    </row>
    <row r="20" spans="1:12">
      <c r="A20" s="834"/>
      <c r="B20" s="786"/>
      <c r="C20" s="787"/>
      <c r="D20" s="787"/>
      <c r="E20" s="787"/>
      <c r="F20" s="787"/>
      <c r="G20" s="788"/>
      <c r="H20" s="789"/>
      <c r="I20" s="791"/>
      <c r="J20" s="791"/>
      <c r="K20" s="791"/>
    </row>
    <row r="21" spans="1:12">
      <c r="A21" s="833" t="s">
        <v>409</v>
      </c>
      <c r="B21" s="792" t="s">
        <v>1101</v>
      </c>
      <c r="C21" s="793"/>
      <c r="D21" s="794"/>
      <c r="E21" s="841">
        <f>$J$9</f>
        <v>8.410409430246929E-2</v>
      </c>
      <c r="F21" s="844">
        <f t="shared" ref="F21:F29" si="0">+J$10*D21/100+E21</f>
        <v>8.410409430246929E-2</v>
      </c>
      <c r="G21" s="795">
        <f>'11 - Reg. Assets and Abnd Plnt'!AD7</f>
        <v>1727955.7683846154</v>
      </c>
      <c r="H21" s="796">
        <f>'11 - Reg. Assets and Abnd Plnt'!P7</f>
        <v>493817.69400000002</v>
      </c>
      <c r="I21" s="1490">
        <f>+E21*G21+H21</f>
        <v>639145.84889471554</v>
      </c>
      <c r="J21" s="1491">
        <f>+F21*G21+H21</f>
        <v>639145.84889471554</v>
      </c>
      <c r="K21" s="797">
        <f t="shared" ref="K21:K29" si="1">+J21-I21</f>
        <v>0</v>
      </c>
      <c r="L21" s="811"/>
    </row>
    <row r="22" spans="1:12">
      <c r="A22" s="833" t="s">
        <v>410</v>
      </c>
      <c r="B22" s="792" t="s">
        <v>1102</v>
      </c>
      <c r="C22" s="798"/>
      <c r="D22" s="794">
        <v>-50</v>
      </c>
      <c r="E22" s="841">
        <f t="shared" ref="E22:E24" si="2">$J$9</f>
        <v>8.410409430246929E-2</v>
      </c>
      <c r="F22" s="844">
        <f t="shared" si="0"/>
        <v>8.1645387113066278E-2</v>
      </c>
      <c r="G22" s="795">
        <f>'11 - Reg. Assets and Abnd Plnt'!AD8</f>
        <v>5042233.6652631573</v>
      </c>
      <c r="H22" s="796">
        <f>'11 - Reg. Assets and Abnd Plnt'!P8</f>
        <v>1440638.1894736844</v>
      </c>
      <c r="I22" s="799">
        <f t="shared" ref="I22:I29" si="3">+E22*G22+H22</f>
        <v>1864710.6851520624</v>
      </c>
      <c r="J22" s="797">
        <f>+F22*G22+H22</f>
        <v>1852313.3089886298</v>
      </c>
      <c r="K22" s="797">
        <f t="shared" si="1"/>
        <v>-12397.376163432607</v>
      </c>
    </row>
    <row r="23" spans="1:12">
      <c r="A23" s="833" t="s">
        <v>411</v>
      </c>
      <c r="B23" s="792" t="s">
        <v>1103</v>
      </c>
      <c r="C23" s="798"/>
      <c r="D23" s="794">
        <v>0</v>
      </c>
      <c r="E23" s="841">
        <f t="shared" si="2"/>
        <v>8.410409430246929E-2</v>
      </c>
      <c r="F23" s="813">
        <f t="shared" si="0"/>
        <v>8.410409430246929E-2</v>
      </c>
      <c r="G23" s="801">
        <v>0</v>
      </c>
      <c r="H23" s="798">
        <v>0</v>
      </c>
      <c r="I23" s="799">
        <f t="shared" si="3"/>
        <v>0</v>
      </c>
      <c r="J23" s="797">
        <f t="shared" ref="J23:J29" si="4">+F23*G23+H23</f>
        <v>0</v>
      </c>
      <c r="K23" s="797">
        <f t="shared" si="1"/>
        <v>0</v>
      </c>
      <c r="L23" s="811"/>
    </row>
    <row r="24" spans="1:12">
      <c r="A24" s="833" t="s">
        <v>412</v>
      </c>
      <c r="B24" s="792" t="s">
        <v>1104</v>
      </c>
      <c r="C24" s="798"/>
      <c r="D24" s="794">
        <v>0</v>
      </c>
      <c r="E24" s="841">
        <f t="shared" si="2"/>
        <v>8.410409430246929E-2</v>
      </c>
      <c r="F24" s="813">
        <f t="shared" si="0"/>
        <v>8.410409430246929E-2</v>
      </c>
      <c r="G24" s="801">
        <v>0</v>
      </c>
      <c r="H24" s="798">
        <v>0</v>
      </c>
      <c r="I24" s="799">
        <f t="shared" si="3"/>
        <v>0</v>
      </c>
      <c r="J24" s="797">
        <f t="shared" si="4"/>
        <v>0</v>
      </c>
      <c r="K24" s="797">
        <f t="shared" si="1"/>
        <v>0</v>
      </c>
      <c r="L24" s="811"/>
    </row>
    <row r="25" spans="1:12">
      <c r="A25" s="833" t="s">
        <v>413</v>
      </c>
      <c r="B25" s="802"/>
      <c r="C25" s="798"/>
      <c r="D25" s="798"/>
      <c r="E25" s="800"/>
      <c r="F25" s="813">
        <f t="shared" si="0"/>
        <v>0</v>
      </c>
      <c r="G25" s="801">
        <v>0</v>
      </c>
      <c r="H25" s="798">
        <v>0</v>
      </c>
      <c r="I25" s="799">
        <f t="shared" si="3"/>
        <v>0</v>
      </c>
      <c r="J25" s="797">
        <f t="shared" si="4"/>
        <v>0</v>
      </c>
      <c r="K25" s="797">
        <f t="shared" si="1"/>
        <v>0</v>
      </c>
      <c r="L25" s="811"/>
    </row>
    <row r="26" spans="1:12">
      <c r="A26" s="833" t="s">
        <v>414</v>
      </c>
      <c r="B26" s="802"/>
      <c r="C26" s="798"/>
      <c r="D26" s="798"/>
      <c r="E26" s="798"/>
      <c r="F26" s="813">
        <f t="shared" si="0"/>
        <v>0</v>
      </c>
      <c r="G26" s="803">
        <v>0</v>
      </c>
      <c r="H26" s="798">
        <v>0</v>
      </c>
      <c r="I26" s="799">
        <f t="shared" si="3"/>
        <v>0</v>
      </c>
      <c r="J26" s="797">
        <f t="shared" si="4"/>
        <v>0</v>
      </c>
      <c r="K26" s="797">
        <f t="shared" si="1"/>
        <v>0</v>
      </c>
    </row>
    <row r="27" spans="1:12">
      <c r="A27" s="833" t="s">
        <v>415</v>
      </c>
      <c r="B27" s="802"/>
      <c r="C27" s="798"/>
      <c r="D27" s="798"/>
      <c r="E27" s="798"/>
      <c r="F27" s="813">
        <f t="shared" si="0"/>
        <v>0</v>
      </c>
      <c r="G27" s="803">
        <v>0</v>
      </c>
      <c r="H27" s="798">
        <v>0</v>
      </c>
      <c r="I27" s="799">
        <f t="shared" si="3"/>
        <v>0</v>
      </c>
      <c r="J27" s="797">
        <f t="shared" si="4"/>
        <v>0</v>
      </c>
      <c r="K27" s="797">
        <f t="shared" si="1"/>
        <v>0</v>
      </c>
    </row>
    <row r="28" spans="1:12">
      <c r="A28" s="833" t="s">
        <v>416</v>
      </c>
      <c r="B28" s="802"/>
      <c r="C28" s="798"/>
      <c r="D28" s="798"/>
      <c r="E28" s="798"/>
      <c r="F28" s="813">
        <f t="shared" si="0"/>
        <v>0</v>
      </c>
      <c r="G28" s="803">
        <v>0</v>
      </c>
      <c r="H28" s="798">
        <v>0</v>
      </c>
      <c r="I28" s="799">
        <f t="shared" si="3"/>
        <v>0</v>
      </c>
      <c r="J28" s="797">
        <f t="shared" si="4"/>
        <v>0</v>
      </c>
      <c r="K28" s="797">
        <f t="shared" si="1"/>
        <v>0</v>
      </c>
    </row>
    <row r="29" spans="1:12">
      <c r="A29" s="833" t="s">
        <v>417</v>
      </c>
      <c r="B29" s="802"/>
      <c r="C29" s="798"/>
      <c r="D29" s="798"/>
      <c r="E29" s="798"/>
      <c r="F29" s="813">
        <f t="shared" si="0"/>
        <v>0</v>
      </c>
      <c r="G29" s="803">
        <v>0</v>
      </c>
      <c r="H29" s="798">
        <v>0</v>
      </c>
      <c r="I29" s="799">
        <f t="shared" si="3"/>
        <v>0</v>
      </c>
      <c r="J29" s="797">
        <f t="shared" si="4"/>
        <v>0</v>
      </c>
      <c r="K29" s="797">
        <f t="shared" si="1"/>
        <v>0</v>
      </c>
    </row>
    <row r="30" spans="1:12">
      <c r="A30" s="833">
        <v>8</v>
      </c>
      <c r="B30" s="804" t="s">
        <v>21</v>
      </c>
      <c r="C30" s="772"/>
      <c r="D30" s="770"/>
      <c r="E30" s="770"/>
      <c r="F30" s="772"/>
      <c r="G30" s="805">
        <f>SUM(G21:G29)</f>
        <v>6770189.4336477723</v>
      </c>
      <c r="H30" s="806">
        <f>SUM(H21:H29)</f>
        <v>1934455.8834736845</v>
      </c>
      <c r="I30" s="807">
        <f>SUM(I21:I29)</f>
        <v>2503856.534046778</v>
      </c>
      <c r="J30" s="808">
        <f>SUM(J21:J29)</f>
        <v>2491459.1578833451</v>
      </c>
      <c r="K30" s="808">
        <f>SUM(K21:K29)</f>
        <v>-12397.376163432607</v>
      </c>
      <c r="L30" s="845"/>
    </row>
    <row r="31" spans="1:12" ht="23.25" customHeight="1">
      <c r="A31" s="833">
        <v>9</v>
      </c>
      <c r="B31" s="771" t="s">
        <v>1028</v>
      </c>
      <c r="C31" s="772"/>
      <c r="D31" s="770"/>
      <c r="E31" s="770"/>
      <c r="F31" s="772"/>
      <c r="G31" s="809" t="s">
        <v>427</v>
      </c>
      <c r="H31" s="809" t="s">
        <v>465</v>
      </c>
      <c r="I31" s="809" t="s">
        <v>464</v>
      </c>
      <c r="J31" s="809" t="s">
        <v>428</v>
      </c>
      <c r="K31" s="809" t="s">
        <v>939</v>
      </c>
      <c r="L31" s="845"/>
    </row>
    <row r="32" spans="1:12">
      <c r="A32" s="833"/>
      <c r="B32" s="771"/>
      <c r="C32" s="772"/>
      <c r="D32" s="770"/>
      <c r="E32" s="770"/>
      <c r="F32" s="772"/>
      <c r="G32" s="772"/>
      <c r="H32" s="772"/>
      <c r="I32" s="772"/>
      <c r="J32" s="772"/>
      <c r="K32" s="772"/>
    </row>
    <row r="33" spans="1:11">
      <c r="A33" s="770"/>
      <c r="B33" s="771"/>
      <c r="C33" s="772"/>
      <c r="D33" s="770"/>
      <c r="E33" s="770"/>
      <c r="F33" s="772"/>
      <c r="G33" s="772"/>
      <c r="H33" s="772"/>
      <c r="I33" s="772"/>
      <c r="J33" s="772"/>
      <c r="K33" s="772"/>
    </row>
    <row r="34" spans="1:11">
      <c r="A34" s="771" t="s">
        <v>418</v>
      </c>
      <c r="B34" s="771"/>
      <c r="C34" s="772"/>
      <c r="D34" s="770"/>
      <c r="E34" s="770"/>
      <c r="F34" s="772"/>
      <c r="G34" s="772"/>
      <c r="H34" s="772"/>
      <c r="I34" s="772"/>
      <c r="J34" s="772"/>
      <c r="K34" s="772"/>
    </row>
    <row r="35" spans="1:11">
      <c r="A35" s="771" t="s">
        <v>485</v>
      </c>
      <c r="B35" s="771"/>
      <c r="C35" s="772"/>
      <c r="D35" s="770"/>
      <c r="E35" s="770"/>
      <c r="F35" s="772"/>
      <c r="G35" s="772"/>
      <c r="H35" s="772"/>
      <c r="I35" s="772"/>
      <c r="J35" s="772"/>
      <c r="K35" s="772"/>
    </row>
    <row r="36" spans="1:11">
      <c r="A36" s="123" t="s">
        <v>524</v>
      </c>
    </row>
    <row r="37" spans="1:11" ht="15.75">
      <c r="A37" s="1152"/>
      <c r="B37" s="687" t="s">
        <v>599</v>
      </c>
      <c r="C37"/>
      <c r="I37" s="726"/>
      <c r="J37" s="726"/>
    </row>
    <row r="38" spans="1:11" ht="15.75">
      <c r="A38" s="1152"/>
      <c r="B38" s="963" t="s">
        <v>600</v>
      </c>
      <c r="C38" s="1581" t="s">
        <v>459</v>
      </c>
      <c r="D38" s="1581"/>
    </row>
    <row r="39" spans="1:11" ht="15">
      <c r="A39" s="1152"/>
      <c r="B39" s="965" t="s">
        <v>1105</v>
      </c>
      <c r="C39" s="1580" t="s">
        <v>1106</v>
      </c>
      <c r="D39" s="1580"/>
    </row>
    <row r="40" spans="1:11" ht="15">
      <c r="A40" s="1152"/>
      <c r="B40" s="965"/>
      <c r="C40" s="1580"/>
      <c r="D40" s="1580"/>
    </row>
    <row r="41" spans="1:11" ht="15">
      <c r="A41" s="1152"/>
      <c r="B41" s="965"/>
      <c r="C41" s="1580"/>
      <c r="D41" s="1580"/>
    </row>
    <row r="42" spans="1:11">
      <c r="A42" s="970" t="s">
        <v>621</v>
      </c>
      <c r="B42" s="969"/>
      <c r="C42" s="969"/>
    </row>
    <row r="47" spans="1:11">
      <c r="I47" s="725">
        <f>+'Appendix III'!J155</f>
        <v>2503279.3211486586</v>
      </c>
      <c r="J47" s="845">
        <f>+'Appendix III'!J159</f>
        <v>2490881.9449852258</v>
      </c>
      <c r="K47" s="845">
        <f>+'Appendix III'!J157</f>
        <v>-12397.376163432607</v>
      </c>
    </row>
    <row r="78" spans="3:4">
      <c r="C78" s="368" t="s">
        <v>8</v>
      </c>
      <c r="D78" s="164"/>
    </row>
    <row r="228" spans="1:8">
      <c r="H228" s="863"/>
    </row>
    <row r="230" spans="1:8">
      <c r="A230" s="119"/>
      <c r="B230" s="119"/>
      <c r="C230" s="120"/>
      <c r="D230" s="122"/>
      <c r="E230" s="122"/>
    </row>
    <row r="231" spans="1:8">
      <c r="A231" s="119"/>
      <c r="B231" s="119"/>
      <c r="C231" s="120"/>
      <c r="D231" s="122"/>
      <c r="E231" s="122"/>
    </row>
    <row r="232" spans="1:8">
      <c r="A232" s="119"/>
      <c r="B232" s="119"/>
      <c r="C232" s="120"/>
      <c r="D232" s="122"/>
      <c r="E232" s="122"/>
    </row>
    <row r="233" spans="1:8">
      <c r="A233" s="119"/>
      <c r="B233" s="119"/>
      <c r="C233" s="120"/>
      <c r="D233" s="122"/>
      <c r="E233" s="122"/>
    </row>
    <row r="234" spans="1:8">
      <c r="A234" s="119"/>
      <c r="B234" s="119"/>
      <c r="C234" s="120"/>
      <c r="D234" s="122"/>
      <c r="E234" s="122"/>
    </row>
    <row r="235" spans="1:8">
      <c r="A235" s="119"/>
      <c r="B235" s="119"/>
      <c r="C235" s="120"/>
      <c r="D235" s="122"/>
      <c r="E235" s="122"/>
    </row>
    <row r="236" spans="1:8">
      <c r="A236" s="119"/>
      <c r="B236" s="119"/>
      <c r="C236" s="120"/>
      <c r="D236" s="122"/>
      <c r="E236" s="122"/>
    </row>
    <row r="237" spans="1:8">
      <c r="A237" s="119"/>
      <c r="B237" s="119"/>
      <c r="C237" s="120"/>
      <c r="D237" s="122"/>
      <c r="E237" s="122"/>
    </row>
    <row r="238" spans="1:8">
      <c r="A238" s="119"/>
      <c r="B238" s="119"/>
      <c r="C238" s="120"/>
      <c r="D238" s="122"/>
      <c r="E238" s="122"/>
    </row>
  </sheetData>
  <mergeCells count="5">
    <mergeCell ref="G17:I17"/>
    <mergeCell ref="C40:D40"/>
    <mergeCell ref="C39:D39"/>
    <mergeCell ref="C41:D41"/>
    <mergeCell ref="C38:D38"/>
  </mergeCells>
  <printOptions horizontalCentered="1"/>
  <pageMargins left="0.25" right="0.25" top="0.75" bottom="0.25" header="0.4" footer="0.5"/>
  <pageSetup scale="59"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M188"/>
  <sheetViews>
    <sheetView view="pageBreakPreview" zoomScale="60" zoomScaleNormal="100" workbookViewId="0">
      <selection activeCell="E87" sqref="E87"/>
    </sheetView>
  </sheetViews>
  <sheetFormatPr defaultColWidth="8.77734375" defaultRowHeight="12.75"/>
  <cols>
    <col min="1" max="1" width="5.44140625" style="1064" customWidth="1"/>
    <col min="2" max="2" width="21.44140625" style="1063" customWidth="1"/>
    <col min="3" max="3" width="12.109375" style="1063" bestFit="1" customWidth="1"/>
    <col min="4" max="4" width="12.109375" style="1063" customWidth="1"/>
    <col min="5" max="5" width="11" style="1063" customWidth="1"/>
    <col min="6" max="6" width="13.44140625" style="1063" customWidth="1"/>
    <col min="7" max="7" width="14.109375" style="1063" customWidth="1"/>
    <col min="8" max="8" width="12.21875" style="1063" customWidth="1"/>
    <col min="9" max="9" width="14.109375" style="1063" customWidth="1"/>
    <col min="10" max="10" width="24.21875" style="1063" customWidth="1"/>
    <col min="11" max="11" width="7.21875" style="1063" customWidth="1"/>
    <col min="12" max="12" width="12.21875" style="1063" customWidth="1"/>
    <col min="13" max="13" width="8.109375" style="1063" customWidth="1"/>
    <col min="14" max="14" width="7.77734375" style="1063" bestFit="1" customWidth="1"/>
    <col min="15" max="15" width="11.77734375" style="1063" bestFit="1" customWidth="1"/>
    <col min="16" max="16" width="10.77734375" style="1063" bestFit="1" customWidth="1"/>
    <col min="17" max="16384" width="8.77734375" style="1063"/>
  </cols>
  <sheetData>
    <row r="1" spans="1:11" s="971" customFormat="1" ht="15" customHeight="1">
      <c r="A1" s="1585" t="s">
        <v>657</v>
      </c>
      <c r="B1" s="1585"/>
      <c r="C1" s="1585"/>
      <c r="D1" s="1585"/>
      <c r="E1" s="1585"/>
      <c r="F1" s="1585"/>
      <c r="G1" s="1585"/>
      <c r="H1" s="1585"/>
      <c r="I1" s="1585"/>
      <c r="J1" s="1585"/>
    </row>
    <row r="2" spans="1:11" s="971" customFormat="1">
      <c r="A2" s="1585" t="s">
        <v>622</v>
      </c>
      <c r="B2" s="1585"/>
      <c r="C2" s="1585"/>
      <c r="D2" s="1585"/>
      <c r="E2" s="1585"/>
      <c r="F2" s="1585"/>
      <c r="G2" s="1585"/>
      <c r="H2" s="1585"/>
      <c r="I2" s="1585"/>
      <c r="J2" s="1585"/>
    </row>
    <row r="3" spans="1:11" s="971" customFormat="1" ht="15" customHeight="1">
      <c r="A3" s="1586" t="str">
        <f>+'Appendix III'!E8</f>
        <v>MidAmerican Central California Transco, LLC</v>
      </c>
      <c r="B3" s="1586"/>
      <c r="C3" s="1586"/>
      <c r="D3" s="1586"/>
      <c r="E3" s="1586"/>
      <c r="F3" s="1586"/>
      <c r="G3" s="1586"/>
      <c r="H3" s="1586"/>
      <c r="I3" s="1586"/>
      <c r="J3" s="1586"/>
      <c r="K3" s="972"/>
    </row>
    <row r="4" spans="1:11" s="971" customFormat="1">
      <c r="A4" s="973"/>
      <c r="K4" s="972"/>
    </row>
    <row r="5" spans="1:11" s="971" customFormat="1">
      <c r="A5" s="974"/>
      <c r="B5" s="972"/>
      <c r="C5" s="972"/>
      <c r="D5" s="972"/>
      <c r="E5" s="972"/>
      <c r="F5" s="975"/>
      <c r="G5" s="972"/>
      <c r="H5" s="972"/>
      <c r="I5" s="972"/>
      <c r="J5" s="972"/>
      <c r="K5" s="972"/>
    </row>
    <row r="6" spans="1:11" s="971" customFormat="1">
      <c r="A6" s="974"/>
      <c r="B6" s="972"/>
      <c r="C6" s="972"/>
      <c r="D6" s="972"/>
      <c r="E6" s="1587"/>
      <c r="F6" s="1587"/>
      <c r="G6" s="1587"/>
      <c r="H6" s="972"/>
      <c r="I6" s="972"/>
      <c r="J6" s="972"/>
      <c r="K6" s="972"/>
    </row>
    <row r="7" spans="1:11" s="971" customFormat="1">
      <c r="A7" s="974"/>
      <c r="B7" s="972"/>
      <c r="C7" s="972"/>
      <c r="D7" s="972"/>
      <c r="E7" s="972"/>
      <c r="F7" s="975"/>
      <c r="G7" s="972"/>
      <c r="H7" s="972"/>
      <c r="I7" s="972"/>
      <c r="J7" s="972"/>
      <c r="K7" s="972"/>
    </row>
    <row r="8" spans="1:11" s="971" customFormat="1">
      <c r="A8" s="974"/>
      <c r="B8" s="972" t="s">
        <v>623</v>
      </c>
      <c r="C8" s="972"/>
      <c r="D8" s="972"/>
      <c r="E8" s="972"/>
      <c r="F8" s="975"/>
      <c r="G8" s="972"/>
      <c r="H8" s="972"/>
      <c r="I8" s="972"/>
      <c r="J8" s="972"/>
      <c r="K8" s="972"/>
    </row>
    <row r="9" spans="1:11" s="971" customFormat="1">
      <c r="A9" s="974"/>
      <c r="B9" s="972" t="s">
        <v>291</v>
      </c>
      <c r="C9" s="972"/>
      <c r="D9" s="972"/>
      <c r="E9" s="972"/>
      <c r="F9" s="975"/>
      <c r="G9" s="972"/>
      <c r="H9" s="972"/>
      <c r="I9" s="972"/>
      <c r="J9" s="972"/>
      <c r="K9" s="972"/>
    </row>
    <row r="10" spans="1:11" s="971" customFormat="1">
      <c r="A10" s="974"/>
      <c r="B10" s="972" t="s">
        <v>292</v>
      </c>
      <c r="C10" s="972"/>
      <c r="D10" s="972"/>
      <c r="E10" s="972"/>
      <c r="F10" s="975"/>
      <c r="G10" s="972"/>
      <c r="H10" s="972"/>
      <c r="I10" s="972"/>
      <c r="J10" s="972"/>
      <c r="K10" s="972"/>
    </row>
    <row r="11" spans="1:11" s="971" customFormat="1" ht="39" customHeight="1">
      <c r="A11" s="974"/>
      <c r="B11" s="1582" t="s">
        <v>694</v>
      </c>
      <c r="C11" s="1582"/>
      <c r="D11" s="1582"/>
      <c r="E11" s="1582"/>
      <c r="F11" s="1582"/>
      <c r="G11" s="972"/>
      <c r="H11" s="972"/>
      <c r="I11" s="972"/>
      <c r="J11" s="972"/>
      <c r="K11" s="972"/>
    </row>
    <row r="12" spans="1:11" s="971" customFormat="1" ht="24" customHeight="1">
      <c r="A12" s="974"/>
      <c r="B12" s="1081"/>
      <c r="C12" s="1081"/>
      <c r="D12" s="1081"/>
      <c r="E12" s="1081"/>
      <c r="F12" s="1081"/>
      <c r="G12" s="972"/>
      <c r="H12" s="972"/>
      <c r="I12" s="972"/>
      <c r="J12" s="972"/>
      <c r="K12" s="972"/>
    </row>
    <row r="13" spans="1:11" s="971" customFormat="1" ht="13.5" thickBot="1">
      <c r="A13" s="976"/>
      <c r="B13" s="972" t="s">
        <v>624</v>
      </c>
      <c r="C13" s="972"/>
      <c r="D13" s="972"/>
      <c r="E13" s="972"/>
      <c r="F13" s="972"/>
      <c r="G13" s="972"/>
      <c r="H13" s="972"/>
      <c r="I13" s="972"/>
      <c r="J13" s="972"/>
      <c r="K13" s="972"/>
    </row>
    <row r="14" spans="1:11" s="971" customFormat="1">
      <c r="A14" s="976"/>
      <c r="B14" s="977"/>
      <c r="C14" s="978"/>
      <c r="D14" s="978"/>
      <c r="E14" s="978"/>
      <c r="F14" s="979"/>
      <c r="G14" s="972"/>
      <c r="H14" s="972"/>
      <c r="I14" s="972"/>
      <c r="J14" s="972"/>
      <c r="K14" s="972"/>
    </row>
    <row r="15" spans="1:11" s="971" customFormat="1" ht="13.5" thickBot="1">
      <c r="A15" s="976">
        <v>1</v>
      </c>
      <c r="B15" s="980" t="s">
        <v>201</v>
      </c>
      <c r="C15" s="981"/>
      <c r="D15" s="981"/>
      <c r="E15" s="981"/>
      <c r="F15" s="982">
        <v>0</v>
      </c>
      <c r="G15" s="972"/>
      <c r="H15" s="1588"/>
      <c r="I15" s="1588"/>
      <c r="J15" s="972"/>
      <c r="K15" s="972"/>
    </row>
    <row r="16" spans="1:11" s="971" customFormat="1" ht="13.5" thickBot="1">
      <c r="A16" s="976"/>
      <c r="B16" s="972" t="s">
        <v>625</v>
      </c>
      <c r="D16" s="972"/>
      <c r="E16" s="972"/>
      <c r="F16" s="983"/>
      <c r="G16" s="972"/>
      <c r="H16" s="984"/>
      <c r="I16" s="985"/>
      <c r="J16" s="972"/>
      <c r="K16" s="972"/>
    </row>
    <row r="17" spans="1:12" s="971" customFormat="1">
      <c r="A17" s="976">
        <v>2</v>
      </c>
      <c r="B17" s="977" t="s">
        <v>626</v>
      </c>
      <c r="C17" s="978"/>
      <c r="D17" s="978"/>
      <c r="E17" s="978"/>
      <c r="F17" s="986" t="e">
        <f>ROUND(XIRR(J58:J74,B58:B74,0.08),4)</f>
        <v>#NUM!</v>
      </c>
      <c r="G17" s="987"/>
      <c r="H17" s="988"/>
      <c r="I17" s="988"/>
      <c r="J17" s="972"/>
      <c r="K17" s="972"/>
    </row>
    <row r="18" spans="1:12" s="971" customFormat="1">
      <c r="A18" s="976">
        <f>+A17+1</f>
        <v>3</v>
      </c>
      <c r="B18" s="989" t="s">
        <v>627</v>
      </c>
      <c r="C18" s="972"/>
      <c r="D18" s="972"/>
      <c r="E18" s="972"/>
      <c r="F18" s="990"/>
      <c r="G18" s="972"/>
      <c r="H18" s="988"/>
      <c r="I18" s="988"/>
      <c r="J18" s="991"/>
    </row>
    <row r="19" spans="1:12" s="971" customFormat="1">
      <c r="A19" s="976">
        <f t="shared" ref="A19:A81" si="0">+A18+1</f>
        <v>4</v>
      </c>
      <c r="B19" s="989"/>
      <c r="C19" s="972"/>
      <c r="D19" s="972"/>
      <c r="E19" s="972"/>
      <c r="F19" s="992"/>
      <c r="G19" s="972"/>
      <c r="H19" s="988"/>
      <c r="I19" s="988"/>
      <c r="J19" s="991"/>
    </row>
    <row r="20" spans="1:12" s="971" customFormat="1">
      <c r="A20" s="976">
        <f t="shared" si="0"/>
        <v>5</v>
      </c>
      <c r="B20" s="989"/>
      <c r="C20" s="972"/>
      <c r="D20" s="972"/>
      <c r="E20" s="972"/>
      <c r="F20" s="992"/>
      <c r="G20" s="972"/>
      <c r="H20" s="972"/>
      <c r="I20" s="972"/>
      <c r="J20" s="972"/>
      <c r="K20" s="993"/>
    </row>
    <row r="21" spans="1:12" s="971" customFormat="1">
      <c r="A21" s="976">
        <f t="shared" si="0"/>
        <v>6</v>
      </c>
      <c r="B21" s="989" t="s">
        <v>202</v>
      </c>
      <c r="C21" s="994"/>
      <c r="D21" s="972"/>
      <c r="E21" s="972"/>
      <c r="F21" s="992"/>
      <c r="G21" s="972"/>
      <c r="H21" s="972"/>
      <c r="J21" s="995"/>
      <c r="K21" s="972"/>
    </row>
    <row r="22" spans="1:12" s="971" customFormat="1">
      <c r="A22" s="976">
        <f t="shared" si="0"/>
        <v>7</v>
      </c>
      <c r="B22" s="989"/>
      <c r="C22" s="994"/>
      <c r="D22" s="972"/>
      <c r="E22" s="972"/>
      <c r="F22" s="992"/>
      <c r="G22" s="972"/>
      <c r="H22" s="972"/>
      <c r="I22" s="972"/>
      <c r="J22" s="972"/>
      <c r="K22" s="972"/>
    </row>
    <row r="23" spans="1:12" s="971" customFormat="1" ht="19.5" customHeight="1" thickBot="1">
      <c r="A23" s="976">
        <f t="shared" si="0"/>
        <v>8</v>
      </c>
      <c r="B23" s="980"/>
      <c r="C23" s="996"/>
      <c r="D23" s="981"/>
      <c r="E23" s="981"/>
      <c r="F23" s="997"/>
      <c r="G23" s="972"/>
      <c r="H23" s="972"/>
      <c r="I23" s="972"/>
      <c r="J23" s="972"/>
      <c r="K23" s="972"/>
    </row>
    <row r="24" spans="1:12" s="971" customFormat="1">
      <c r="A24" s="976"/>
      <c r="B24" s="998"/>
      <c r="D24" s="972"/>
      <c r="E24" s="972"/>
      <c r="F24" s="999"/>
      <c r="G24" s="972"/>
      <c r="H24" s="972"/>
      <c r="I24" s="972"/>
      <c r="J24" s="972"/>
      <c r="K24" s="972"/>
    </row>
    <row r="25" spans="1:12" s="971" customFormat="1" ht="13.5" thickBot="1">
      <c r="A25" s="976"/>
      <c r="B25" s="972" t="s">
        <v>628</v>
      </c>
      <c r="D25" s="972"/>
      <c r="E25" s="972"/>
      <c r="F25" s="995"/>
      <c r="G25" s="972"/>
      <c r="H25" s="972"/>
      <c r="I25" s="972"/>
      <c r="J25" s="972"/>
      <c r="K25" s="972"/>
    </row>
    <row r="26" spans="1:12" s="971" customFormat="1">
      <c r="A26" s="976">
        <f>+A23+1</f>
        <v>9</v>
      </c>
      <c r="B26" s="1000"/>
      <c r="C26" s="978"/>
      <c r="D26" s="978"/>
      <c r="E26" s="978"/>
      <c r="F26" s="1001"/>
      <c r="G26" s="972"/>
      <c r="H26" s="972"/>
      <c r="I26" s="972"/>
      <c r="J26" s="972"/>
      <c r="K26" s="972"/>
    </row>
    <row r="27" spans="1:12" s="971" customFormat="1">
      <c r="A27" s="976">
        <f t="shared" si="0"/>
        <v>10</v>
      </c>
      <c r="B27" s="989" t="s">
        <v>203</v>
      </c>
      <c r="C27" s="972"/>
      <c r="D27" s="972"/>
      <c r="E27" s="994" t="s">
        <v>629</v>
      </c>
      <c r="F27" s="1002" t="s">
        <v>18</v>
      </c>
      <c r="G27" s="972"/>
      <c r="H27" s="972"/>
      <c r="I27" s="972"/>
      <c r="J27" s="972"/>
      <c r="K27" s="972"/>
    </row>
    <row r="28" spans="1:12" s="971" customFormat="1">
      <c r="A28" s="976">
        <f t="shared" si="0"/>
        <v>11</v>
      </c>
      <c r="B28" s="1003" t="s">
        <v>204</v>
      </c>
      <c r="C28" s="1004"/>
      <c r="D28" s="1004"/>
      <c r="E28" s="1005">
        <v>0</v>
      </c>
      <c r="F28" s="1006">
        <v>0</v>
      </c>
      <c r="G28" s="1583"/>
      <c r="H28" s="1584"/>
      <c r="I28" s="1584"/>
      <c r="J28" s="1007"/>
      <c r="K28" s="972"/>
    </row>
    <row r="29" spans="1:12" s="971" customFormat="1">
      <c r="A29" s="976">
        <f t="shared" si="0"/>
        <v>12</v>
      </c>
      <c r="B29" s="1003" t="s">
        <v>245</v>
      </c>
      <c r="C29" s="1004"/>
      <c r="D29" s="1004"/>
      <c r="E29" s="1005">
        <v>0</v>
      </c>
      <c r="F29" s="1006">
        <v>0</v>
      </c>
      <c r="G29" s="976"/>
      <c r="H29" s="1008"/>
      <c r="I29" s="1008"/>
      <c r="J29" s="972"/>
      <c r="K29" s="972"/>
      <c r="L29" s="1009"/>
    </row>
    <row r="30" spans="1:12" s="971" customFormat="1">
      <c r="A30" s="976">
        <f t="shared" si="0"/>
        <v>13</v>
      </c>
      <c r="B30" s="1003" t="s">
        <v>244</v>
      </c>
      <c r="C30" s="1004"/>
      <c r="D30" s="1004"/>
      <c r="E30" s="1464">
        <v>0</v>
      </c>
      <c r="F30" s="1006">
        <v>0</v>
      </c>
      <c r="G30" s="1463"/>
      <c r="H30" s="1008"/>
      <c r="I30" s="1008"/>
      <c r="J30" s="1010"/>
      <c r="K30" s="972"/>
    </row>
    <row r="31" spans="1:12" s="971" customFormat="1">
      <c r="A31" s="976">
        <f t="shared" si="0"/>
        <v>14</v>
      </c>
      <c r="B31" s="1003" t="s">
        <v>243</v>
      </c>
      <c r="C31" s="1004"/>
      <c r="D31" s="1004"/>
      <c r="E31" s="1011">
        <v>0</v>
      </c>
      <c r="F31" s="1012">
        <v>0</v>
      </c>
      <c r="G31" s="976"/>
      <c r="H31" s="972"/>
      <c r="I31" s="972"/>
      <c r="J31" s="972"/>
      <c r="K31" s="972"/>
    </row>
    <row r="32" spans="1:12" s="971" customFormat="1">
      <c r="A32" s="976">
        <f t="shared" si="0"/>
        <v>15</v>
      </c>
      <c r="B32" s="1003" t="s">
        <v>242</v>
      </c>
      <c r="C32" s="1011"/>
      <c r="D32" s="1004"/>
      <c r="E32" s="796">
        <v>0</v>
      </c>
      <c r="F32" s="1012">
        <v>0</v>
      </c>
      <c r="G32" s="976"/>
      <c r="I32" s="1008"/>
      <c r="J32" s="972"/>
      <c r="K32" s="972"/>
    </row>
    <row r="33" spans="1:11" s="971" customFormat="1">
      <c r="A33" s="976" t="s">
        <v>630</v>
      </c>
      <c r="B33" s="1003"/>
      <c r="C33" s="1011"/>
      <c r="D33" s="1004"/>
      <c r="E33" s="1013">
        <v>0</v>
      </c>
      <c r="F33" s="1014">
        <v>0</v>
      </c>
      <c r="G33" s="976"/>
      <c r="I33" s="1008"/>
      <c r="J33" s="972"/>
      <c r="K33" s="972"/>
    </row>
    <row r="34" spans="1:11" s="971" customFormat="1" ht="13.5" thickBot="1">
      <c r="A34" s="976">
        <f>+A32+1</f>
        <v>16</v>
      </c>
      <c r="B34" s="1015" t="s">
        <v>205</v>
      </c>
      <c r="C34" s="1016"/>
      <c r="D34" s="972"/>
      <c r="E34" s="1017"/>
      <c r="F34" s="1018">
        <f>SUM(F29:F32)</f>
        <v>0</v>
      </c>
      <c r="G34" s="976"/>
      <c r="H34" s="972"/>
      <c r="I34" s="972"/>
      <c r="J34" s="972"/>
      <c r="K34" s="972"/>
    </row>
    <row r="35" spans="1:11" s="971" customFormat="1" ht="14.25" thickTop="1" thickBot="1">
      <c r="A35" s="976"/>
      <c r="B35" s="1019"/>
      <c r="C35" s="1020"/>
      <c r="D35" s="981"/>
      <c r="E35" s="981"/>
      <c r="F35" s="1021"/>
      <c r="G35" s="976"/>
      <c r="H35" s="972"/>
      <c r="I35" s="972"/>
      <c r="J35" s="1007"/>
      <c r="K35" s="972"/>
    </row>
    <row r="36" spans="1:11" s="971" customFormat="1">
      <c r="A36" s="976">
        <f>+A34+1</f>
        <v>17</v>
      </c>
      <c r="B36" s="1022"/>
      <c r="C36" s="1023"/>
      <c r="D36" s="1024"/>
      <c r="E36" s="1024"/>
      <c r="F36" s="1025"/>
      <c r="G36" s="976"/>
      <c r="H36" s="972"/>
      <c r="I36" s="972"/>
      <c r="J36" s="1026"/>
      <c r="K36" s="972"/>
    </row>
    <row r="37" spans="1:11" s="971" customFormat="1">
      <c r="A37" s="976">
        <f t="shared" si="0"/>
        <v>18</v>
      </c>
      <c r="B37" s="1003" t="s">
        <v>252</v>
      </c>
      <c r="C37" s="1011"/>
      <c r="D37" s="1004"/>
      <c r="E37" s="1027">
        <v>0</v>
      </c>
      <c r="F37" s="1012">
        <v>0</v>
      </c>
      <c r="G37" s="976"/>
      <c r="H37" s="972"/>
      <c r="I37" s="972"/>
      <c r="J37" s="1026"/>
      <c r="K37" s="972"/>
    </row>
    <row r="38" spans="1:11" s="971" customFormat="1">
      <c r="A38" s="976">
        <f t="shared" si="0"/>
        <v>19</v>
      </c>
      <c r="B38" s="1003" t="s">
        <v>253</v>
      </c>
      <c r="C38" s="1011"/>
      <c r="D38" s="1004"/>
      <c r="E38" s="1013">
        <v>0</v>
      </c>
      <c r="F38" s="1028">
        <v>0</v>
      </c>
      <c r="G38" s="976"/>
      <c r="H38" s="972"/>
      <c r="I38" s="972"/>
      <c r="J38" s="1026"/>
      <c r="K38" s="972"/>
    </row>
    <row r="39" spans="1:11" s="971" customFormat="1">
      <c r="A39" s="976">
        <v>21</v>
      </c>
      <c r="B39" s="1003" t="s">
        <v>241</v>
      </c>
      <c r="C39" s="1011"/>
      <c r="D39" s="1004"/>
      <c r="E39" s="1029"/>
      <c r="F39" s="1030"/>
      <c r="G39" s="976"/>
      <c r="H39" s="972"/>
      <c r="I39" s="972"/>
      <c r="J39" s="1026"/>
      <c r="K39" s="972"/>
    </row>
    <row r="40" spans="1:11" s="971" customFormat="1" ht="13.5" thickBot="1">
      <c r="A40" s="976" t="s">
        <v>691</v>
      </c>
      <c r="B40" s="1031"/>
      <c r="C40" s="1032"/>
      <c r="D40" s="1033"/>
      <c r="E40" s="1034"/>
      <c r="F40" s="1035"/>
      <c r="G40" s="976"/>
      <c r="H40" s="1036"/>
      <c r="I40" s="1008"/>
      <c r="K40" s="972"/>
    </row>
    <row r="41" spans="1:11" s="971" customFormat="1">
      <c r="A41" s="976"/>
      <c r="B41" s="998"/>
      <c r="C41" s="975"/>
      <c r="D41" s="972"/>
      <c r="E41" s="1037"/>
      <c r="F41" s="975"/>
      <c r="G41" s="976"/>
      <c r="H41" s="972"/>
      <c r="I41" s="972"/>
      <c r="J41" s="972"/>
      <c r="K41" s="972"/>
    </row>
    <row r="42" spans="1:11" s="971" customFormat="1" ht="13.5" thickBot="1">
      <c r="A42" s="976"/>
      <c r="B42" s="972" t="s">
        <v>631</v>
      </c>
      <c r="C42" s="975"/>
      <c r="D42" s="972"/>
      <c r="E42" s="972"/>
      <c r="F42" s="972"/>
      <c r="G42" s="972"/>
      <c r="H42" s="972"/>
      <c r="I42" s="972"/>
      <c r="J42" s="972"/>
      <c r="K42" s="972"/>
    </row>
    <row r="43" spans="1:11" s="971" customFormat="1" ht="13.5" thickBot="1">
      <c r="A43" s="976">
        <v>22</v>
      </c>
      <c r="B43" s="1038"/>
      <c r="C43" s="1039">
        <v>2014</v>
      </c>
      <c r="D43" s="1039">
        <f t="shared" ref="D43:I43" si="1">+C43+1</f>
        <v>2015</v>
      </c>
      <c r="E43" s="1039">
        <f t="shared" si="1"/>
        <v>2016</v>
      </c>
      <c r="F43" s="1039">
        <f t="shared" si="1"/>
        <v>2017</v>
      </c>
      <c r="G43" s="1039">
        <f t="shared" si="1"/>
        <v>2018</v>
      </c>
      <c r="H43" s="1039">
        <f t="shared" si="1"/>
        <v>2019</v>
      </c>
      <c r="I43" s="1039">
        <f t="shared" si="1"/>
        <v>2020</v>
      </c>
    </row>
    <row r="44" spans="1:11" s="971" customFormat="1" ht="13.5" thickBot="1">
      <c r="A44" s="976">
        <f t="shared" si="0"/>
        <v>23</v>
      </c>
      <c r="B44" s="1019" t="s">
        <v>240</v>
      </c>
      <c r="C44" s="1459">
        <v>1.56E-3</v>
      </c>
      <c r="D44" s="1460"/>
      <c r="E44" s="1460"/>
      <c r="F44" s="1460"/>
      <c r="G44" s="1460"/>
      <c r="H44" s="1460">
        <v>2.1507999999999999E-2</v>
      </c>
      <c r="I44" s="1460">
        <v>4.4999999999999997E-3</v>
      </c>
    </row>
    <row r="45" spans="1:11" s="971" customFormat="1" ht="13.5" thickBot="1">
      <c r="A45" s="976">
        <f t="shared" si="0"/>
        <v>24</v>
      </c>
      <c r="B45" s="1019" t="s">
        <v>239</v>
      </c>
      <c r="C45" s="1459">
        <v>2.5000000000000001E-2</v>
      </c>
      <c r="D45" s="1460"/>
      <c r="E45" s="1460"/>
      <c r="F45" s="1460"/>
      <c r="G45" s="1460"/>
      <c r="H45" s="1460">
        <v>2.5000000000000001E-2</v>
      </c>
      <c r="I45" s="1460">
        <v>2.5000000000000001E-2</v>
      </c>
    </row>
    <row r="46" spans="1:11" s="971" customFormat="1" ht="13.5" thickBot="1">
      <c r="A46" s="976">
        <f t="shared" si="0"/>
        <v>25</v>
      </c>
      <c r="B46" s="980" t="s">
        <v>206</v>
      </c>
      <c r="C46" s="1461">
        <f>SUM(C44:C45)</f>
        <v>2.656E-2</v>
      </c>
      <c r="D46" s="1462"/>
      <c r="E46" s="1462"/>
      <c r="F46" s="1462"/>
      <c r="G46" s="1462"/>
      <c r="H46" s="1462">
        <f t="shared" ref="H46:I46" si="2">SUM(H44:H45)</f>
        <v>4.6508000000000001E-2</v>
      </c>
      <c r="I46" s="1462">
        <f t="shared" si="2"/>
        <v>2.9500000000000002E-2</v>
      </c>
    </row>
    <row r="47" spans="1:11" s="971" customFormat="1">
      <c r="A47" s="976"/>
    </row>
    <row r="48" spans="1:11" s="971" customFormat="1" ht="13.5" thickBot="1">
      <c r="A48" s="976"/>
      <c r="B48" s="971" t="s">
        <v>632</v>
      </c>
    </row>
    <row r="49" spans="1:12" s="971" customFormat="1">
      <c r="A49" s="976">
        <f>+A46+1</f>
        <v>26</v>
      </c>
      <c r="B49" s="1040" t="s">
        <v>133</v>
      </c>
      <c r="C49" s="1041" t="s">
        <v>132</v>
      </c>
      <c r="D49" s="1041" t="s">
        <v>207</v>
      </c>
      <c r="E49" s="1041" t="s">
        <v>208</v>
      </c>
      <c r="F49" s="1041" t="s">
        <v>209</v>
      </c>
      <c r="G49" s="1041" t="s">
        <v>210</v>
      </c>
      <c r="H49" s="1041" t="s">
        <v>211</v>
      </c>
      <c r="I49" s="1041" t="s">
        <v>212</v>
      </c>
      <c r="J49" s="1042" t="s">
        <v>213</v>
      </c>
    </row>
    <row r="50" spans="1:12" s="971" customFormat="1" ht="51" customHeight="1">
      <c r="A50" s="976">
        <f t="shared" si="0"/>
        <v>27</v>
      </c>
      <c r="B50" s="1043" t="s">
        <v>135</v>
      </c>
      <c r="C50" s="994"/>
      <c r="D50" s="1044" t="s">
        <v>633</v>
      </c>
      <c r="E50" s="1044" t="s">
        <v>634</v>
      </c>
      <c r="F50" s="1044" t="s">
        <v>635</v>
      </c>
      <c r="G50" s="1044" t="s">
        <v>636</v>
      </c>
      <c r="H50" s="1044" t="s">
        <v>214</v>
      </c>
      <c r="I50" s="1044" t="s">
        <v>637</v>
      </c>
      <c r="J50" s="1045" t="s">
        <v>215</v>
      </c>
    </row>
    <row r="51" spans="1:12" s="971" customFormat="1" ht="27.75" customHeight="1" thickBot="1">
      <c r="A51" s="976">
        <f t="shared" si="0"/>
        <v>28</v>
      </c>
      <c r="B51" s="1046"/>
      <c r="C51" s="996"/>
      <c r="D51" s="1047" t="s">
        <v>638</v>
      </c>
      <c r="E51" s="1047" t="s">
        <v>638</v>
      </c>
      <c r="F51" s="1047" t="s">
        <v>639</v>
      </c>
      <c r="G51" s="1047" t="s">
        <v>640</v>
      </c>
      <c r="H51" s="1047" t="s">
        <v>641</v>
      </c>
      <c r="I51" s="1047" t="s">
        <v>693</v>
      </c>
      <c r="J51" s="1048" t="s">
        <v>216</v>
      </c>
    </row>
    <row r="52" spans="1:12" s="971" customFormat="1">
      <c r="A52" s="976">
        <f t="shared" si="0"/>
        <v>29</v>
      </c>
      <c r="B52" s="1040"/>
      <c r="C52" s="1041"/>
      <c r="D52" s="978"/>
      <c r="E52" s="978"/>
      <c r="F52" s="978"/>
      <c r="G52" s="978"/>
      <c r="H52" s="978"/>
      <c r="I52" s="978"/>
      <c r="J52" s="979"/>
    </row>
    <row r="53" spans="1:12" s="971" customFormat="1">
      <c r="A53" s="976">
        <f t="shared" si="0"/>
        <v>30</v>
      </c>
      <c r="B53" s="1049">
        <v>42005</v>
      </c>
      <c r="C53" s="1050"/>
      <c r="D53" s="1051">
        <v>0</v>
      </c>
      <c r="E53" s="1004"/>
      <c r="F53" s="972"/>
      <c r="G53" s="972"/>
      <c r="H53" s="972"/>
      <c r="I53" s="972"/>
      <c r="J53" s="1052"/>
    </row>
    <row r="54" spans="1:12" s="971" customFormat="1">
      <c r="A54" s="976">
        <f t="shared" si="0"/>
        <v>31</v>
      </c>
      <c r="B54" s="1049">
        <v>42094</v>
      </c>
      <c r="C54" s="1053" t="s">
        <v>217</v>
      </c>
      <c r="D54" s="1051">
        <v>0</v>
      </c>
      <c r="E54" s="1011">
        <f>0.45*SUM(D53:D54)</f>
        <v>0</v>
      </c>
      <c r="F54" s="1016">
        <f>SUM($E$54:E54)</f>
        <v>0</v>
      </c>
      <c r="G54" s="1054">
        <v>0</v>
      </c>
      <c r="H54" s="1055"/>
      <c r="I54" s="1016"/>
      <c r="J54" s="1052">
        <f>E54-G54-H54-I54</f>
        <v>0</v>
      </c>
    </row>
    <row r="55" spans="1:12" s="971" customFormat="1">
      <c r="A55" s="976">
        <f t="shared" si="0"/>
        <v>32</v>
      </c>
      <c r="B55" s="1049">
        <v>42185</v>
      </c>
      <c r="C55" s="1053" t="s">
        <v>218</v>
      </c>
      <c r="D55" s="1051">
        <v>0</v>
      </c>
      <c r="E55" s="1011">
        <f>0.45*SUM(D55)</f>
        <v>0</v>
      </c>
      <c r="F55" s="1016">
        <f>SUM($E$54:E55)</f>
        <v>0</v>
      </c>
      <c r="G55" s="1016">
        <f>F54*SUMIF($C$43:$I$43,YEAR(B54),$C$46:$I$46)*((B55-B54)/365)</f>
        <v>0</v>
      </c>
      <c r="H55" s="1016"/>
      <c r="I55" s="1016"/>
      <c r="J55" s="1052">
        <f>E55-G55-H55-I55</f>
        <v>0</v>
      </c>
      <c r="L55" s="1056"/>
    </row>
    <row r="56" spans="1:12" s="971" customFormat="1">
      <c r="A56" s="976">
        <f t="shared" si="0"/>
        <v>33</v>
      </c>
      <c r="B56" s="1049">
        <v>42277</v>
      </c>
      <c r="C56" s="1053" t="s">
        <v>219</v>
      </c>
      <c r="D56" s="1051">
        <v>0</v>
      </c>
      <c r="E56" s="1011">
        <f t="shared" ref="E56:E74" si="3">0.45*SUM(D56)</f>
        <v>0</v>
      </c>
      <c r="F56" s="1016">
        <f>SUM($E$54:E56)</f>
        <v>0</v>
      </c>
      <c r="G56" s="1016">
        <f>F55*SUMIF($C$43:$I$43,YEAR(B55),$C$46:$I$46)*((B56-B55)/365)</f>
        <v>0</v>
      </c>
      <c r="H56" s="1016"/>
      <c r="I56" s="1016"/>
      <c r="J56" s="1052">
        <f t="shared" ref="J56:J69" si="4">E56-G56-H56-I56</f>
        <v>0</v>
      </c>
      <c r="K56" s="1057"/>
      <c r="L56" s="1056"/>
    </row>
    <row r="57" spans="1:12" s="971" customFormat="1">
      <c r="A57" s="976">
        <f t="shared" si="0"/>
        <v>34</v>
      </c>
      <c r="B57" s="1049">
        <v>42369</v>
      </c>
      <c r="C57" s="1053" t="s">
        <v>220</v>
      </c>
      <c r="D57" s="1051">
        <v>0</v>
      </c>
      <c r="E57" s="1011">
        <f t="shared" si="3"/>
        <v>0</v>
      </c>
      <c r="F57" s="1016">
        <f>SUM($E$54:E57)</f>
        <v>0</v>
      </c>
      <c r="G57" s="1016">
        <f t="shared" ref="G57:G68" si="5">F56*SUMIF($C$43:$I$43,YEAR(B56),$C$46:$I$46)*((B57-B56)/365)</f>
        <v>0</v>
      </c>
      <c r="H57" s="1055"/>
      <c r="I57" s="1016"/>
      <c r="J57" s="1052">
        <f t="shared" si="4"/>
        <v>0</v>
      </c>
      <c r="K57" s="1057"/>
      <c r="L57" s="1056"/>
    </row>
    <row r="58" spans="1:12" s="971" customFormat="1">
      <c r="A58" s="976">
        <f t="shared" si="0"/>
        <v>35</v>
      </c>
      <c r="B58" s="1049">
        <v>42460</v>
      </c>
      <c r="C58" s="1053" t="s">
        <v>217</v>
      </c>
      <c r="D58" s="1051">
        <v>0</v>
      </c>
      <c r="E58" s="1011">
        <f t="shared" si="3"/>
        <v>0</v>
      </c>
      <c r="F58" s="1016">
        <f>SUM($E$54:E58)</f>
        <v>0</v>
      </c>
      <c r="G58" s="1016">
        <f t="shared" si="5"/>
        <v>0</v>
      </c>
      <c r="H58" s="1016">
        <f>F34/1000</f>
        <v>0</v>
      </c>
      <c r="I58" s="1016">
        <f>($F$15/1000-F57)*$E$39/4</f>
        <v>0</v>
      </c>
      <c r="J58" s="1052">
        <f t="shared" si="4"/>
        <v>0</v>
      </c>
      <c r="K58" s="1057"/>
      <c r="L58" s="1056"/>
    </row>
    <row r="59" spans="1:12" s="971" customFormat="1">
      <c r="A59" s="976">
        <f t="shared" si="0"/>
        <v>36</v>
      </c>
      <c r="B59" s="1049">
        <v>42551</v>
      </c>
      <c r="C59" s="1053" t="s">
        <v>218</v>
      </c>
      <c r="D59" s="1051">
        <v>0</v>
      </c>
      <c r="E59" s="1011">
        <f t="shared" si="3"/>
        <v>0</v>
      </c>
      <c r="F59" s="1016">
        <f>SUM($E$54:E59)</f>
        <v>0</v>
      </c>
      <c r="G59" s="1016">
        <f t="shared" si="5"/>
        <v>0</v>
      </c>
      <c r="H59" s="1016"/>
      <c r="I59" s="1016">
        <f>($F$15/1000-F58)*$E$39/4+$F$38/1000+$F$37/1000</f>
        <v>0</v>
      </c>
      <c r="J59" s="1052">
        <f t="shared" si="4"/>
        <v>0</v>
      </c>
      <c r="K59" s="1057"/>
      <c r="L59" s="1056"/>
    </row>
    <row r="60" spans="1:12" s="971" customFormat="1">
      <c r="A60" s="976">
        <f t="shared" si="0"/>
        <v>37</v>
      </c>
      <c r="B60" s="1049">
        <v>42643</v>
      </c>
      <c r="C60" s="1053" t="s">
        <v>219</v>
      </c>
      <c r="D60" s="1051">
        <v>0</v>
      </c>
      <c r="E60" s="1011">
        <f t="shared" si="3"/>
        <v>0</v>
      </c>
      <c r="F60" s="1016">
        <f>SUM($E$54:E60)</f>
        <v>0</v>
      </c>
      <c r="G60" s="1016">
        <f t="shared" si="5"/>
        <v>0</v>
      </c>
      <c r="H60" s="1016"/>
      <c r="I60" s="1016">
        <f t="shared" ref="I60:I74" si="6">($F$15/1000-F59)*$E$39/4+$F$38/1000+$F$37/1000</f>
        <v>0</v>
      </c>
      <c r="J60" s="1052">
        <f t="shared" si="4"/>
        <v>0</v>
      </c>
      <c r="K60" s="1057"/>
      <c r="L60" s="1056"/>
    </row>
    <row r="61" spans="1:12" s="971" customFormat="1">
      <c r="A61" s="976">
        <f t="shared" si="0"/>
        <v>38</v>
      </c>
      <c r="B61" s="1049">
        <v>42735</v>
      </c>
      <c r="C61" s="1053" t="s">
        <v>220</v>
      </c>
      <c r="D61" s="1051">
        <v>0</v>
      </c>
      <c r="E61" s="1011">
        <f t="shared" si="3"/>
        <v>0</v>
      </c>
      <c r="F61" s="1016">
        <f>SUM($E$54:E61)</f>
        <v>0</v>
      </c>
      <c r="G61" s="1016">
        <f t="shared" si="5"/>
        <v>0</v>
      </c>
      <c r="H61" s="1016"/>
      <c r="I61" s="1016">
        <f t="shared" si="6"/>
        <v>0</v>
      </c>
      <c r="J61" s="1052">
        <f t="shared" si="4"/>
        <v>0</v>
      </c>
      <c r="K61" s="1057"/>
      <c r="L61" s="1056"/>
    </row>
    <row r="62" spans="1:12" s="971" customFormat="1">
      <c r="A62" s="976">
        <f t="shared" si="0"/>
        <v>39</v>
      </c>
      <c r="B62" s="1049">
        <v>42825</v>
      </c>
      <c r="C62" s="1053" t="s">
        <v>217</v>
      </c>
      <c r="D62" s="1051">
        <v>0</v>
      </c>
      <c r="E62" s="1011">
        <f t="shared" si="3"/>
        <v>0</v>
      </c>
      <c r="F62" s="1016">
        <f>SUM($E$54:E62)</f>
        <v>0</v>
      </c>
      <c r="G62" s="1016">
        <f t="shared" si="5"/>
        <v>0</v>
      </c>
      <c r="H62" s="1016"/>
      <c r="I62" s="1016">
        <f t="shared" si="6"/>
        <v>0</v>
      </c>
      <c r="J62" s="1052">
        <f t="shared" si="4"/>
        <v>0</v>
      </c>
      <c r="K62" s="1057"/>
      <c r="L62" s="1056"/>
    </row>
    <row r="63" spans="1:12" s="971" customFormat="1">
      <c r="A63" s="976">
        <f t="shared" si="0"/>
        <v>40</v>
      </c>
      <c r="B63" s="1049">
        <v>42916</v>
      </c>
      <c r="C63" s="1053" t="s">
        <v>218</v>
      </c>
      <c r="D63" s="1051">
        <v>0</v>
      </c>
      <c r="E63" s="1011">
        <f t="shared" si="3"/>
        <v>0</v>
      </c>
      <c r="F63" s="1016">
        <f>SUM($E$54:E63)</f>
        <v>0</v>
      </c>
      <c r="G63" s="1016">
        <f t="shared" si="5"/>
        <v>0</v>
      </c>
      <c r="H63" s="1016"/>
      <c r="I63" s="1016">
        <f t="shared" si="6"/>
        <v>0</v>
      </c>
      <c r="J63" s="1052">
        <f t="shared" si="4"/>
        <v>0</v>
      </c>
      <c r="K63" s="1057"/>
      <c r="L63" s="1056"/>
    </row>
    <row r="64" spans="1:12" s="971" customFormat="1">
      <c r="A64" s="976">
        <f t="shared" si="0"/>
        <v>41</v>
      </c>
      <c r="B64" s="1049">
        <v>43008</v>
      </c>
      <c r="C64" s="1053" t="s">
        <v>219</v>
      </c>
      <c r="D64" s="1051">
        <v>0</v>
      </c>
      <c r="E64" s="1011">
        <f t="shared" si="3"/>
        <v>0</v>
      </c>
      <c r="F64" s="1016">
        <f>SUM($E$54:E64)</f>
        <v>0</v>
      </c>
      <c r="G64" s="1016">
        <f t="shared" si="5"/>
        <v>0</v>
      </c>
      <c r="H64" s="1016"/>
      <c r="I64" s="1016">
        <f t="shared" si="6"/>
        <v>0</v>
      </c>
      <c r="J64" s="1052">
        <f t="shared" si="4"/>
        <v>0</v>
      </c>
      <c r="K64" s="1057"/>
      <c r="L64" s="1056"/>
    </row>
    <row r="65" spans="1:12" s="971" customFormat="1">
      <c r="A65" s="976">
        <f t="shared" si="0"/>
        <v>42</v>
      </c>
      <c r="B65" s="1049">
        <v>43100</v>
      </c>
      <c r="C65" s="1053" t="s">
        <v>220</v>
      </c>
      <c r="D65" s="1051">
        <v>0</v>
      </c>
      <c r="E65" s="1011">
        <f t="shared" si="3"/>
        <v>0</v>
      </c>
      <c r="F65" s="1016">
        <f>SUM($E$54:E65)</f>
        <v>0</v>
      </c>
      <c r="G65" s="1016">
        <f t="shared" si="5"/>
        <v>0</v>
      </c>
      <c r="H65" s="1016"/>
      <c r="I65" s="1016">
        <f t="shared" si="6"/>
        <v>0</v>
      </c>
      <c r="J65" s="1052">
        <f t="shared" si="4"/>
        <v>0</v>
      </c>
      <c r="K65" s="1057"/>
      <c r="L65" s="1056"/>
    </row>
    <row r="66" spans="1:12" s="971" customFormat="1">
      <c r="A66" s="976">
        <f t="shared" si="0"/>
        <v>43</v>
      </c>
      <c r="B66" s="1049">
        <v>43190</v>
      </c>
      <c r="C66" s="1053" t="s">
        <v>217</v>
      </c>
      <c r="D66" s="1051">
        <v>0</v>
      </c>
      <c r="E66" s="1011">
        <f t="shared" si="3"/>
        <v>0</v>
      </c>
      <c r="F66" s="1016">
        <f>SUM($E$54:E66)</f>
        <v>0</v>
      </c>
      <c r="G66" s="1016">
        <f t="shared" si="5"/>
        <v>0</v>
      </c>
      <c r="H66" s="1016"/>
      <c r="I66" s="1016">
        <f t="shared" si="6"/>
        <v>0</v>
      </c>
      <c r="J66" s="1052">
        <f t="shared" si="4"/>
        <v>0</v>
      </c>
      <c r="K66" s="1057"/>
      <c r="L66" s="1056"/>
    </row>
    <row r="67" spans="1:12" s="971" customFormat="1">
      <c r="A67" s="976">
        <f t="shared" si="0"/>
        <v>44</v>
      </c>
      <c r="B67" s="1049">
        <v>43281</v>
      </c>
      <c r="C67" s="1053" t="s">
        <v>218</v>
      </c>
      <c r="D67" s="1051">
        <v>0</v>
      </c>
      <c r="E67" s="1011">
        <f t="shared" si="3"/>
        <v>0</v>
      </c>
      <c r="F67" s="1016">
        <f>SUM($E$54:E67)</f>
        <v>0</v>
      </c>
      <c r="G67" s="1016">
        <f t="shared" si="5"/>
        <v>0</v>
      </c>
      <c r="H67" s="1016"/>
      <c r="I67" s="1016">
        <f t="shared" si="6"/>
        <v>0</v>
      </c>
      <c r="J67" s="1052">
        <f t="shared" si="4"/>
        <v>0</v>
      </c>
      <c r="K67" s="1057"/>
      <c r="L67" s="1056"/>
    </row>
    <row r="68" spans="1:12" s="971" customFormat="1">
      <c r="A68" s="976">
        <f t="shared" si="0"/>
        <v>45</v>
      </c>
      <c r="B68" s="1049">
        <v>43373</v>
      </c>
      <c r="C68" s="1053" t="s">
        <v>219</v>
      </c>
      <c r="D68" s="1051">
        <v>0</v>
      </c>
      <c r="E68" s="1011">
        <f t="shared" si="3"/>
        <v>0</v>
      </c>
      <c r="F68" s="1016">
        <f>SUM($E$54:E68)</f>
        <v>0</v>
      </c>
      <c r="G68" s="1016">
        <f t="shared" si="5"/>
        <v>0</v>
      </c>
      <c r="H68" s="1016"/>
      <c r="I68" s="1016">
        <f t="shared" si="6"/>
        <v>0</v>
      </c>
      <c r="J68" s="1052">
        <f t="shared" si="4"/>
        <v>0</v>
      </c>
      <c r="K68" s="1057"/>
      <c r="L68" s="1056"/>
    </row>
    <row r="69" spans="1:12" s="971" customFormat="1">
      <c r="A69" s="976">
        <f t="shared" si="0"/>
        <v>46</v>
      </c>
      <c r="B69" s="1049">
        <v>43465</v>
      </c>
      <c r="C69" s="1053" t="s">
        <v>220</v>
      </c>
      <c r="D69" s="1051">
        <v>0</v>
      </c>
      <c r="E69" s="1011">
        <f t="shared" si="3"/>
        <v>0</v>
      </c>
      <c r="F69" s="1016">
        <f>SUM($E$54:E69)</f>
        <v>0</v>
      </c>
      <c r="G69" s="1016">
        <f>F68*SUMIF($C$43:$I$43,YEAR(B68),$C$46:$I$46)*((B69-B68)/365)</f>
        <v>0</v>
      </c>
      <c r="H69" s="1016"/>
      <c r="I69" s="1016">
        <f t="shared" si="6"/>
        <v>0</v>
      </c>
      <c r="J69" s="1052">
        <f t="shared" si="4"/>
        <v>0</v>
      </c>
      <c r="K69" s="1057"/>
      <c r="L69" s="1056"/>
    </row>
    <row r="70" spans="1:12" s="971" customFormat="1">
      <c r="A70" s="976">
        <f t="shared" si="0"/>
        <v>47</v>
      </c>
      <c r="B70" s="1049">
        <v>43555</v>
      </c>
      <c r="C70" s="1053" t="s">
        <v>217</v>
      </c>
      <c r="D70" s="1051">
        <v>0</v>
      </c>
      <c r="E70" s="1011">
        <f t="shared" si="3"/>
        <v>0</v>
      </c>
      <c r="F70" s="1016">
        <f>SUM($E$54:E70)</f>
        <v>0</v>
      </c>
      <c r="G70" s="1016">
        <f>F69*SUMIF($C$43:$I$43,YEAR(B69),$C$46:$I$46)*((B70-B69)/365)</f>
        <v>0</v>
      </c>
      <c r="H70" s="1016"/>
      <c r="I70" s="1016">
        <f t="shared" si="6"/>
        <v>0</v>
      </c>
      <c r="J70" s="1052">
        <f>E70-G70-H70-I70</f>
        <v>0</v>
      </c>
      <c r="K70" s="1057"/>
      <c r="L70" s="1056"/>
    </row>
    <row r="71" spans="1:12" s="971" customFormat="1">
      <c r="A71" s="976">
        <f t="shared" si="0"/>
        <v>48</v>
      </c>
      <c r="B71" s="1049">
        <v>43646</v>
      </c>
      <c r="C71" s="1053" t="s">
        <v>218</v>
      </c>
      <c r="D71" s="1051">
        <v>0</v>
      </c>
      <c r="E71" s="1011">
        <f t="shared" si="3"/>
        <v>0</v>
      </c>
      <c r="F71" s="1016">
        <f>SUM($E$54:E71)</f>
        <v>0</v>
      </c>
      <c r="G71" s="1016">
        <f>F70*SUMIF($C$43:$I$43,YEAR(B70),$C$46:$I$46)*((B71-B70)/365)</f>
        <v>0</v>
      </c>
      <c r="H71" s="1016"/>
      <c r="I71" s="1016">
        <f t="shared" si="6"/>
        <v>0</v>
      </c>
      <c r="J71" s="1052">
        <f>E71-G71-H71-I71</f>
        <v>0</v>
      </c>
      <c r="K71" s="1057"/>
      <c r="L71" s="1056"/>
    </row>
    <row r="72" spans="1:12" s="971" customFormat="1">
      <c r="A72" s="976">
        <f t="shared" si="0"/>
        <v>49</v>
      </c>
      <c r="B72" s="1049">
        <v>43738</v>
      </c>
      <c r="C72" s="1053" t="s">
        <v>219</v>
      </c>
      <c r="D72" s="1051">
        <v>0</v>
      </c>
      <c r="E72" s="1011">
        <f t="shared" si="3"/>
        <v>0</v>
      </c>
      <c r="F72" s="1016">
        <f>SUM($E$54:E72)</f>
        <v>0</v>
      </c>
      <c r="G72" s="1016">
        <f>F71*SUMIF($C$43:$I$43,YEAR(B71),$C$46:$I$46)*((B72-B71)/365)</f>
        <v>0</v>
      </c>
      <c r="H72" s="1016"/>
      <c r="I72" s="1016">
        <f t="shared" si="6"/>
        <v>0</v>
      </c>
      <c r="J72" s="1052">
        <f>E72-G72-H72-I72</f>
        <v>0</v>
      </c>
      <c r="K72" s="1057"/>
      <c r="L72" s="1056"/>
    </row>
    <row r="73" spans="1:12" s="971" customFormat="1">
      <c r="A73" s="976">
        <f t="shared" si="0"/>
        <v>50</v>
      </c>
      <c r="B73" s="1049">
        <v>43830</v>
      </c>
      <c r="C73" s="1053" t="s">
        <v>220</v>
      </c>
      <c r="D73" s="1051">
        <v>0</v>
      </c>
      <c r="E73" s="1011">
        <f t="shared" si="3"/>
        <v>0</v>
      </c>
      <c r="F73" s="1016">
        <f>SUM($E$54:E73)</f>
        <v>0</v>
      </c>
      <c r="G73" s="1016">
        <f>F72*SUMIF($C$43:$I$43,YEAR(B72),$C$46:$I$46)*((B73-B72)/365)</f>
        <v>0</v>
      </c>
      <c r="H73" s="1016"/>
      <c r="I73" s="1016">
        <f t="shared" si="6"/>
        <v>0</v>
      </c>
      <c r="J73" s="1052">
        <f>E73-G73-H73-I73</f>
        <v>0</v>
      </c>
      <c r="K73" s="1057"/>
    </row>
    <row r="74" spans="1:12" s="971" customFormat="1">
      <c r="A74" s="976">
        <f t="shared" si="0"/>
        <v>51</v>
      </c>
      <c r="B74" s="1049">
        <v>43831</v>
      </c>
      <c r="C74" s="1053" t="s">
        <v>217</v>
      </c>
      <c r="D74" s="1051">
        <v>0</v>
      </c>
      <c r="E74" s="1011">
        <f t="shared" si="3"/>
        <v>0</v>
      </c>
      <c r="F74" s="1016">
        <f>SUM($E$54:E74)</f>
        <v>0</v>
      </c>
      <c r="G74" s="1016">
        <f>F73*SUMIF($C$43:$I$43,YEAR(B73),$C$46:$I$46)*((B74-B73)/365)+F74</f>
        <v>0</v>
      </c>
      <c r="H74" s="1016"/>
      <c r="I74" s="1016">
        <f t="shared" si="6"/>
        <v>0</v>
      </c>
      <c r="J74" s="1052">
        <f>E74-G74-H74-I74</f>
        <v>0</v>
      </c>
      <c r="K74" s="1057"/>
    </row>
    <row r="75" spans="1:12" s="971" customFormat="1">
      <c r="A75" s="976">
        <f t="shared" si="0"/>
        <v>52</v>
      </c>
      <c r="B75" s="1058"/>
      <c r="C75" s="1050"/>
      <c r="D75" s="1011"/>
      <c r="E75" s="1011"/>
      <c r="F75" s="1016"/>
      <c r="G75" s="1016"/>
      <c r="H75" s="1016"/>
      <c r="I75" s="1016"/>
      <c r="J75" s="1052"/>
      <c r="K75" s="1057"/>
    </row>
    <row r="76" spans="1:12" s="971" customFormat="1">
      <c r="A76" s="976">
        <f t="shared" si="0"/>
        <v>53</v>
      </c>
      <c r="B76" s="1058"/>
      <c r="C76" s="1059"/>
      <c r="D76" s="1011"/>
      <c r="E76" s="1011"/>
      <c r="F76" s="1016"/>
      <c r="G76" s="1060"/>
      <c r="H76" s="1016"/>
      <c r="I76" s="1016"/>
      <c r="J76" s="1052"/>
      <c r="K76" s="1057"/>
    </row>
    <row r="77" spans="1:12" s="971" customFormat="1">
      <c r="A77" s="976">
        <f t="shared" si="0"/>
        <v>54</v>
      </c>
      <c r="B77" s="1058"/>
      <c r="C77" s="1050"/>
      <c r="D77" s="1011"/>
      <c r="E77" s="1011"/>
      <c r="F77" s="1016"/>
      <c r="G77" s="1061"/>
      <c r="H77" s="1016"/>
      <c r="I77" s="1016"/>
      <c r="J77" s="1052"/>
      <c r="K77" s="1057"/>
    </row>
    <row r="78" spans="1:12" s="971" customFormat="1">
      <c r="A78" s="976">
        <f t="shared" si="0"/>
        <v>55</v>
      </c>
      <c r="B78" s="1058"/>
      <c r="C78" s="1050"/>
      <c r="D78" s="1011"/>
      <c r="E78" s="1011"/>
      <c r="F78" s="1016"/>
      <c r="G78" s="1016"/>
      <c r="H78" s="1016"/>
      <c r="I78" s="1016"/>
      <c r="J78" s="1052"/>
      <c r="K78" s="1057"/>
    </row>
    <row r="79" spans="1:12" s="971" customFormat="1">
      <c r="A79" s="976">
        <f t="shared" si="0"/>
        <v>56</v>
      </c>
      <c r="B79" s="1058"/>
      <c r="C79" s="1050"/>
      <c r="D79" s="1011"/>
      <c r="E79" s="1011"/>
      <c r="F79" s="1016"/>
      <c r="G79" s="1016"/>
      <c r="H79" s="1016"/>
      <c r="I79" s="1016"/>
      <c r="J79" s="1052"/>
      <c r="K79" s="1057"/>
    </row>
    <row r="80" spans="1:12" s="971" customFormat="1">
      <c r="A80" s="976">
        <f t="shared" si="0"/>
        <v>57</v>
      </c>
      <c r="B80" s="1058"/>
      <c r="C80" s="1050"/>
      <c r="D80" s="1011"/>
      <c r="E80" s="1011"/>
      <c r="F80" s="1016"/>
      <c r="G80" s="1016"/>
      <c r="H80" s="1016"/>
      <c r="I80" s="1016"/>
      <c r="J80" s="1052"/>
      <c r="K80" s="1057"/>
    </row>
    <row r="81" spans="1:13" s="971" customFormat="1" ht="13.5" thickBot="1">
      <c r="A81" s="976">
        <f t="shared" si="0"/>
        <v>58</v>
      </c>
      <c r="B81" s="1062"/>
      <c r="C81" s="996"/>
      <c r="D81" s="1020"/>
      <c r="E81" s="1020"/>
      <c r="F81" s="1020"/>
      <c r="G81" s="1020"/>
      <c r="H81" s="1020"/>
      <c r="I81" s="1020"/>
      <c r="J81" s="1021"/>
      <c r="K81" s="1057"/>
    </row>
    <row r="82" spans="1:13" s="971" customFormat="1">
      <c r="A82" s="973"/>
      <c r="K82" s="1057"/>
    </row>
    <row r="83" spans="1:13" s="971" customFormat="1">
      <c r="A83" s="973" t="s">
        <v>642</v>
      </c>
    </row>
    <row r="84" spans="1:13" s="971" customFormat="1" ht="16.5">
      <c r="A84" s="973"/>
      <c r="B84" s="1636" t="str">
        <f>"1  The IRR is the input to Debt Cost shown on Appendix III, line 80 during the construction period, after obtaining project financing, in accordance with Note G of Appendix III."</f>
        <v>1  The IRR is the input to Debt Cost shown on Appendix III, line 80 during the construction period, after obtaining project financing, in accordance with Note G of Appendix III.</v>
      </c>
      <c r="C84" s="1636"/>
      <c r="D84" s="1636"/>
      <c r="E84" s="1636"/>
      <c r="F84" s="1636"/>
      <c r="G84" s="1636"/>
      <c r="H84" s="1636"/>
      <c r="I84" s="1636"/>
      <c r="J84" s="1636"/>
      <c r="K84" s="1073"/>
      <c r="L84" s="1073"/>
    </row>
    <row r="85" spans="1:13" s="971" customFormat="1" ht="16.5">
      <c r="A85" s="973"/>
      <c r="B85" s="1636" t="s">
        <v>945</v>
      </c>
      <c r="C85" s="1636"/>
      <c r="D85" s="1636"/>
      <c r="E85" s="1636"/>
      <c r="F85" s="1636"/>
      <c r="G85" s="1636"/>
      <c r="H85" s="1636"/>
      <c r="I85" s="1636"/>
      <c r="J85" s="1636"/>
      <c r="K85" s="1073"/>
      <c r="L85" s="1073"/>
    </row>
    <row r="86" spans="1:13" s="971" customFormat="1" ht="16.5">
      <c r="A86" s="973"/>
      <c r="B86" s="1636" t="s">
        <v>1022</v>
      </c>
      <c r="C86" s="1636"/>
      <c r="D86" s="1636"/>
      <c r="E86" s="1636"/>
      <c r="F86" s="1636"/>
      <c r="G86" s="1636"/>
      <c r="H86" s="1636"/>
      <c r="I86" s="1636"/>
      <c r="J86" s="1636"/>
      <c r="K86" s="1073"/>
      <c r="L86" s="1073"/>
    </row>
    <row r="87" spans="1:13" s="971" customFormat="1" ht="16.5">
      <c r="A87" s="973"/>
      <c r="B87" s="1636" t="s">
        <v>643</v>
      </c>
      <c r="C87" s="1636"/>
      <c r="D87" s="1636"/>
      <c r="E87" s="1636"/>
      <c r="F87" s="1636"/>
      <c r="G87" s="1636"/>
      <c r="H87" s="1636"/>
      <c r="I87" s="1636"/>
      <c r="J87" s="1636"/>
      <c r="K87" s="1073"/>
      <c r="L87" s="1073"/>
    </row>
    <row r="88" spans="1:13" s="971" customFormat="1" ht="16.5">
      <c r="A88" s="973"/>
      <c r="B88" s="1636" t="s">
        <v>644</v>
      </c>
      <c r="C88" s="1636"/>
      <c r="D88" s="1636"/>
      <c r="E88" s="1636"/>
      <c r="F88" s="1636"/>
      <c r="G88" s="1636"/>
      <c r="H88" s="1636"/>
      <c r="I88" s="1636"/>
      <c r="J88" s="1636"/>
      <c r="K88" s="1073"/>
      <c r="L88" s="1073"/>
    </row>
    <row r="89" spans="1:13" s="971" customFormat="1" ht="16.5">
      <c r="A89" s="973"/>
      <c r="B89" s="1636" t="s">
        <v>645</v>
      </c>
      <c r="C89" s="1636"/>
      <c r="D89" s="1637"/>
      <c r="E89" s="1637"/>
      <c r="F89" s="1637"/>
      <c r="G89" s="1637"/>
      <c r="H89" s="1637"/>
      <c r="I89" s="1637"/>
      <c r="J89" s="1637"/>
      <c r="K89" s="1073"/>
      <c r="L89" s="1073"/>
    </row>
    <row r="90" spans="1:13" s="971" customFormat="1" ht="16.5">
      <c r="A90" s="973"/>
      <c r="B90" s="1636" t="s">
        <v>1021</v>
      </c>
      <c r="C90" s="1636"/>
      <c r="D90" s="1636"/>
      <c r="E90" s="1636"/>
      <c r="F90" s="1636"/>
      <c r="G90" s="1636"/>
      <c r="H90" s="1636"/>
      <c r="I90" s="1636"/>
      <c r="J90" s="1636"/>
      <c r="K90" s="1073"/>
      <c r="L90" s="1073"/>
    </row>
    <row r="91" spans="1:13" s="971" customFormat="1" ht="16.5">
      <c r="A91" s="973"/>
      <c r="B91" s="1636" t="s">
        <v>646</v>
      </c>
      <c r="C91" s="1636"/>
      <c r="D91" s="1636"/>
      <c r="E91" s="1636"/>
      <c r="F91" s="1636"/>
      <c r="G91" s="1636"/>
      <c r="H91" s="1636"/>
      <c r="I91" s="1636"/>
      <c r="J91" s="1636"/>
      <c r="K91" s="1073"/>
      <c r="L91" s="1073"/>
    </row>
    <row r="92" spans="1:13" s="971" customFormat="1" ht="16.5">
      <c r="A92" s="973"/>
      <c r="B92" s="1636" t="s">
        <v>647</v>
      </c>
      <c r="C92" s="1636"/>
      <c r="D92" s="1636"/>
      <c r="E92" s="1636"/>
      <c r="F92" s="1636"/>
      <c r="G92" s="1636"/>
      <c r="H92" s="1636"/>
      <c r="I92" s="1636"/>
      <c r="J92" s="1636"/>
      <c r="K92" s="1073"/>
      <c r="L92" s="1073"/>
    </row>
    <row r="93" spans="1:13" s="971" customFormat="1" ht="16.5">
      <c r="A93" s="973"/>
      <c r="B93" s="1638" t="s">
        <v>692</v>
      </c>
      <c r="C93" s="1636"/>
      <c r="D93" s="1636"/>
      <c r="E93" s="1636"/>
      <c r="F93" s="1636"/>
      <c r="G93" s="1636"/>
      <c r="H93" s="1636"/>
      <c r="I93" s="1636"/>
      <c r="J93" s="1636"/>
      <c r="K93" s="1073"/>
      <c r="L93" s="1073"/>
    </row>
    <row r="94" spans="1:13" s="971" customFormat="1" ht="16.5">
      <c r="A94" s="973"/>
      <c r="B94" s="1636" t="s">
        <v>648</v>
      </c>
      <c r="C94" s="1637"/>
      <c r="D94" s="1636"/>
      <c r="E94" s="1639"/>
      <c r="F94" s="1636"/>
      <c r="G94" s="1639"/>
      <c r="H94" s="1639"/>
      <c r="I94" s="1636"/>
      <c r="J94" s="1639"/>
      <c r="K94" s="1073"/>
      <c r="L94" s="1073"/>
    </row>
    <row r="95" spans="1:13" s="971" customFormat="1" ht="16.5">
      <c r="A95" s="973"/>
      <c r="B95" s="1640" t="s">
        <v>946</v>
      </c>
      <c r="C95" s="1203"/>
      <c r="D95" s="1227"/>
      <c r="E95" s="1227"/>
      <c r="F95" s="1203"/>
      <c r="G95" s="1203"/>
      <c r="H95" s="1203"/>
      <c r="I95" s="1203"/>
      <c r="J95" s="1203"/>
      <c r="K95" s="1238"/>
      <c r="L95" s="1203"/>
      <c r="M95" s="972"/>
    </row>
    <row r="96" spans="1:13" s="971" customFormat="1" ht="16.5">
      <c r="A96" s="973"/>
      <c r="B96" s="1640" t="s">
        <v>826</v>
      </c>
      <c r="C96" s="1203"/>
      <c r="D96" s="1227"/>
      <c r="E96" s="1227"/>
      <c r="F96" s="1203"/>
      <c r="G96" s="1203"/>
      <c r="H96" s="1203"/>
      <c r="I96" s="1203"/>
      <c r="J96" s="1203"/>
      <c r="K96" s="1238"/>
      <c r="L96" s="1203"/>
      <c r="M96" s="972"/>
    </row>
    <row r="97" spans="1:13" s="971" customFormat="1" ht="16.5">
      <c r="A97" s="973"/>
      <c r="B97" s="1641" t="s">
        <v>827</v>
      </c>
      <c r="C97" s="1203"/>
      <c r="D97" s="1227"/>
      <c r="E97" s="1227"/>
      <c r="F97" s="1203"/>
      <c r="G97" s="1203"/>
      <c r="H97" s="1203"/>
      <c r="I97" s="1203"/>
      <c r="J97" s="1203"/>
      <c r="K97" s="1238"/>
      <c r="L97" s="1203"/>
      <c r="M97" s="972"/>
    </row>
    <row r="98" spans="1:13" s="971" customFormat="1" ht="16.5">
      <c r="A98" s="973"/>
      <c r="B98" s="1642" t="s">
        <v>1108</v>
      </c>
      <c r="C98" s="1643"/>
      <c r="D98" s="1239"/>
      <c r="E98" s="1227"/>
      <c r="F98" s="1203"/>
      <c r="G98" s="1203"/>
      <c r="H98" s="1203"/>
      <c r="I98" s="1203"/>
      <c r="J98" s="1203"/>
      <c r="K98" s="1238"/>
      <c r="L98" s="1203"/>
      <c r="M98" s="972"/>
    </row>
    <row r="99" spans="1:13" s="971" customFormat="1" ht="16.5">
      <c r="A99" s="973"/>
      <c r="B99" s="1636" t="s">
        <v>649</v>
      </c>
      <c r="C99" s="1636"/>
      <c r="D99" s="1309"/>
      <c r="E99" s="1309"/>
      <c r="F99" s="1636"/>
      <c r="G99" s="1636"/>
      <c r="H99" s="1636"/>
      <c r="I99" s="1636"/>
      <c r="J99" s="1636"/>
      <c r="K99" s="1073"/>
      <c r="L99" s="1073"/>
    </row>
    <row r="100" spans="1:13" s="971" customFormat="1" ht="16.5">
      <c r="A100" s="973"/>
      <c r="B100" s="1636" t="s">
        <v>1023</v>
      </c>
      <c r="C100" s="1636"/>
      <c r="D100" s="1309"/>
      <c r="E100" s="1309"/>
      <c r="F100" s="1636"/>
      <c r="G100" s="1636"/>
      <c r="H100" s="1636"/>
      <c r="I100" s="1636"/>
      <c r="J100" s="1636"/>
      <c r="K100" s="1073"/>
      <c r="L100" s="1073"/>
    </row>
    <row r="101" spans="1:13" s="971" customFormat="1" ht="16.5">
      <c r="A101" s="973"/>
      <c r="B101" s="1636" t="s">
        <v>1030</v>
      </c>
      <c r="C101" s="1636"/>
      <c r="D101" s="1309"/>
      <c r="E101" s="1309"/>
      <c r="F101" s="1636"/>
      <c r="G101" s="1636"/>
      <c r="H101" s="1636"/>
      <c r="I101" s="1636"/>
      <c r="J101" s="1636"/>
      <c r="K101" s="1073"/>
      <c r="L101" s="1073"/>
    </row>
    <row r="102" spans="1:13" s="971" customFormat="1" ht="16.5">
      <c r="A102" s="973"/>
      <c r="B102" s="1636" t="s">
        <v>650</v>
      </c>
      <c r="C102" s="1636"/>
      <c r="D102" s="1309"/>
      <c r="E102" s="1309"/>
      <c r="F102" s="1636"/>
      <c r="G102" s="1636"/>
      <c r="H102" s="1636"/>
      <c r="I102" s="1636"/>
      <c r="J102" s="1636"/>
      <c r="K102" s="1073"/>
      <c r="L102" s="1073"/>
    </row>
    <row r="103" spans="1:13" s="971" customFormat="1" ht="16.5">
      <c r="A103" s="973"/>
      <c r="B103" s="1636"/>
      <c r="C103" s="1636" t="s">
        <v>659</v>
      </c>
      <c r="D103" s="1636"/>
      <c r="E103" s="1636"/>
      <c r="F103" s="1636"/>
      <c r="G103" s="1636"/>
      <c r="H103" s="1636"/>
      <c r="I103" s="1636"/>
      <c r="J103" s="1636"/>
      <c r="K103" s="1073"/>
      <c r="L103" s="1073"/>
    </row>
    <row r="104" spans="1:13" s="971" customFormat="1" ht="16.5">
      <c r="A104" s="973"/>
      <c r="B104" s="1644" t="s">
        <v>651</v>
      </c>
      <c r="C104" s="1636" t="s">
        <v>652</v>
      </c>
      <c r="D104" s="1636"/>
      <c r="E104" s="1636"/>
      <c r="F104" s="1636"/>
      <c r="G104" s="1636"/>
      <c r="H104" s="1636"/>
      <c r="I104" s="1636"/>
      <c r="J104" s="1636"/>
      <c r="K104" s="1073"/>
      <c r="L104" s="1073"/>
    </row>
    <row r="105" spans="1:13" s="971" customFormat="1" ht="16.5">
      <c r="A105" s="973"/>
      <c r="B105" s="1644" t="s">
        <v>653</v>
      </c>
      <c r="C105" s="1636" t="s">
        <v>947</v>
      </c>
      <c r="D105" s="1636"/>
      <c r="E105" s="1636"/>
      <c r="F105" s="1636"/>
      <c r="G105" s="1636"/>
      <c r="H105" s="1636"/>
      <c r="I105" s="1636"/>
      <c r="J105" s="1636"/>
      <c r="K105" s="1073"/>
      <c r="L105" s="1073"/>
    </row>
    <row r="106" spans="1:13" s="971" customFormat="1" ht="16.5">
      <c r="A106" s="973"/>
      <c r="B106" s="1644" t="s">
        <v>654</v>
      </c>
      <c r="C106" s="1636" t="s">
        <v>655</v>
      </c>
      <c r="D106" s="1636"/>
      <c r="E106" s="1636"/>
      <c r="F106" s="1636"/>
      <c r="G106" s="1636"/>
      <c r="H106" s="1636"/>
      <c r="I106" s="1636"/>
      <c r="J106" s="1636"/>
      <c r="K106" s="1073"/>
      <c r="L106" s="1073"/>
    </row>
    <row r="107" spans="1:13" s="971" customFormat="1" ht="16.5">
      <c r="A107" s="973"/>
      <c r="B107" s="1636" t="s">
        <v>656</v>
      </c>
      <c r="C107" s="1645"/>
      <c r="D107" s="1636"/>
      <c r="E107" s="1636"/>
      <c r="F107" s="1636"/>
      <c r="G107" s="1636"/>
      <c r="H107" s="1636"/>
      <c r="I107" s="1636"/>
      <c r="J107" s="1636"/>
      <c r="K107" s="1073"/>
      <c r="L107" s="1073"/>
    </row>
    <row r="108" spans="1:13" s="971" customFormat="1" ht="16.5">
      <c r="A108" s="973"/>
      <c r="B108" s="1636" t="s">
        <v>690</v>
      </c>
      <c r="C108" s="1636"/>
      <c r="D108" s="1636"/>
      <c r="E108" s="1636"/>
      <c r="F108" s="1636"/>
      <c r="G108" s="1636"/>
      <c r="H108" s="1636"/>
      <c r="I108" s="1636"/>
      <c r="J108" s="1636"/>
      <c r="K108" s="1073"/>
      <c r="L108" s="1073"/>
    </row>
    <row r="109" spans="1:13" s="971" customFormat="1" ht="16.5">
      <c r="A109" s="973"/>
      <c r="B109" s="1636" t="s">
        <v>949</v>
      </c>
      <c r="C109" s="1636"/>
      <c r="D109" s="1636"/>
      <c r="E109" s="1636"/>
      <c r="F109" s="1636"/>
      <c r="G109" s="1636"/>
      <c r="H109" s="1636"/>
      <c r="I109" s="1636"/>
      <c r="J109" s="1636"/>
      <c r="K109" s="1073"/>
      <c r="L109" s="1073"/>
    </row>
    <row r="110" spans="1:13" s="971" customFormat="1" ht="16.5">
      <c r="A110" s="973"/>
      <c r="B110" s="1636" t="s">
        <v>948</v>
      </c>
      <c r="C110" s="1636"/>
      <c r="D110" s="1637"/>
      <c r="E110" s="1637"/>
      <c r="F110" s="1637"/>
      <c r="G110" s="1637"/>
      <c r="H110" s="1637"/>
      <c r="I110" s="1637"/>
      <c r="J110" s="1637"/>
      <c r="K110" s="1073"/>
      <c r="L110" s="1073"/>
    </row>
    <row r="111" spans="1:13" s="971" customFormat="1" ht="84.75" customHeight="1">
      <c r="A111" s="973"/>
      <c r="B111" s="1646" t="s">
        <v>1024</v>
      </c>
      <c r="C111" s="1646"/>
      <c r="D111" s="1646"/>
      <c r="E111" s="1646"/>
      <c r="F111" s="1646"/>
      <c r="G111" s="1646"/>
      <c r="H111" s="1646"/>
      <c r="I111" s="1646"/>
      <c r="J111" s="1646"/>
      <c r="K111" s="1080"/>
      <c r="L111" s="1073"/>
    </row>
    <row r="112" spans="1:13" s="971" customFormat="1" ht="16.5">
      <c r="A112" s="1064"/>
      <c r="B112" s="1073"/>
      <c r="C112" s="1073"/>
      <c r="D112" s="1073"/>
      <c r="E112" s="1073"/>
      <c r="F112" s="1073"/>
      <c r="G112" s="1073"/>
      <c r="H112" s="1073"/>
      <c r="I112" s="1073"/>
      <c r="J112" s="1073"/>
      <c r="K112" s="1073"/>
      <c r="L112" s="1073"/>
    </row>
    <row r="113" spans="1:12" s="971" customFormat="1" ht="16.5">
      <c r="A113" s="1064"/>
      <c r="B113" s="1073"/>
      <c r="C113" s="1073"/>
      <c r="D113" s="1073"/>
      <c r="E113" s="1073"/>
      <c r="F113" s="1073"/>
      <c r="G113" s="1073"/>
      <c r="H113" s="1073"/>
      <c r="I113" s="1073"/>
      <c r="J113" s="1073"/>
      <c r="K113" s="1073"/>
      <c r="L113" s="1073"/>
    </row>
    <row r="114" spans="1:12" s="971" customFormat="1" ht="16.5">
      <c r="A114" s="1064"/>
      <c r="B114" s="1073"/>
      <c r="C114" s="1073"/>
      <c r="D114" s="1073"/>
      <c r="E114" s="1073"/>
      <c r="F114" s="1073"/>
      <c r="G114" s="1073"/>
      <c r="H114" s="1073"/>
      <c r="I114" s="1073"/>
      <c r="J114" s="1073"/>
      <c r="K114" s="1073"/>
      <c r="L114" s="1073"/>
    </row>
    <row r="115" spans="1:12" s="971" customFormat="1" ht="16.5">
      <c r="A115" s="1064"/>
      <c r="B115" s="1073"/>
      <c r="C115" s="1073"/>
      <c r="D115" s="1073"/>
      <c r="E115" s="1073"/>
      <c r="F115" s="1073"/>
      <c r="G115" s="1073"/>
      <c r="H115" s="1073"/>
      <c r="I115" s="1073"/>
      <c r="J115" s="1073"/>
      <c r="K115" s="1073"/>
      <c r="L115" s="1073"/>
    </row>
    <row r="116" spans="1:12" ht="16.5">
      <c r="B116" s="1073"/>
      <c r="C116" s="1073"/>
      <c r="D116" s="1073"/>
      <c r="E116" s="1073"/>
      <c r="F116" s="1073"/>
      <c r="G116" s="1073"/>
      <c r="H116" s="1073"/>
      <c r="I116" s="1073"/>
      <c r="J116" s="1073"/>
      <c r="K116" s="1073"/>
      <c r="L116" s="1074"/>
    </row>
    <row r="117" spans="1:12" ht="16.5">
      <c r="B117" s="1072"/>
      <c r="C117" s="1073"/>
      <c r="D117" s="1073"/>
      <c r="E117" s="1074"/>
      <c r="F117" s="1074"/>
      <c r="G117" s="1074"/>
      <c r="H117" s="1074"/>
      <c r="I117" s="1074"/>
      <c r="J117" s="1074"/>
      <c r="K117" s="1073"/>
      <c r="L117" s="1074"/>
    </row>
    <row r="118" spans="1:12" ht="16.5">
      <c r="B118" s="1073"/>
      <c r="C118" s="1073"/>
      <c r="D118" s="1073"/>
      <c r="E118" s="1074"/>
      <c r="F118" s="1074"/>
      <c r="G118" s="1074"/>
      <c r="H118" s="1074"/>
      <c r="I118" s="1074"/>
      <c r="J118" s="1074"/>
      <c r="K118" s="1073"/>
      <c r="L118" s="1074"/>
    </row>
    <row r="119" spans="1:12" ht="16.5">
      <c r="B119" s="1073"/>
      <c r="C119" s="1073"/>
      <c r="D119" s="1073"/>
      <c r="E119" s="1074"/>
      <c r="F119" s="1074"/>
      <c r="G119" s="1074"/>
      <c r="H119" s="1074"/>
      <c r="I119" s="1074"/>
      <c r="J119" s="1074"/>
      <c r="K119" s="1073"/>
      <c r="L119" s="1074"/>
    </row>
    <row r="120" spans="1:12" ht="16.5">
      <c r="B120" s="1073"/>
      <c r="C120" s="1073"/>
      <c r="D120" s="1074"/>
      <c r="E120" s="1073"/>
      <c r="F120" s="1073"/>
      <c r="G120" s="1073"/>
      <c r="H120" s="1073"/>
      <c r="I120" s="1073"/>
      <c r="J120" s="1073"/>
      <c r="K120" s="1073"/>
      <c r="L120" s="1074"/>
    </row>
    <row r="121" spans="1:12" ht="16.5">
      <c r="B121" s="1075"/>
      <c r="C121" s="1073"/>
      <c r="D121" s="1073"/>
      <c r="E121" s="1073"/>
      <c r="F121" s="1073"/>
      <c r="G121" s="1073"/>
      <c r="H121" s="1073"/>
      <c r="I121" s="1073"/>
      <c r="J121" s="1073"/>
      <c r="K121" s="1073"/>
      <c r="L121" s="1074"/>
    </row>
    <row r="122" spans="1:12" ht="16.5">
      <c r="B122" s="1073"/>
      <c r="C122" s="1073"/>
      <c r="D122" s="1073"/>
      <c r="E122" s="1073"/>
      <c r="F122" s="1073"/>
      <c r="G122" s="1073"/>
      <c r="H122" s="1073"/>
      <c r="I122" s="1073"/>
      <c r="J122" s="1073"/>
      <c r="K122" s="1073"/>
      <c r="L122" s="1074"/>
    </row>
    <row r="123" spans="1:12" ht="16.5">
      <c r="B123" s="1073"/>
      <c r="C123" s="1073"/>
      <c r="D123" s="1073"/>
      <c r="E123" s="1073"/>
      <c r="F123" s="1073"/>
      <c r="G123" s="1073"/>
      <c r="H123" s="1073"/>
      <c r="I123" s="1073"/>
      <c r="J123" s="1073"/>
      <c r="K123" s="1073"/>
      <c r="L123" s="1074"/>
    </row>
    <row r="124" spans="1:12" ht="16.5">
      <c r="B124" s="1073"/>
      <c r="C124" s="1073"/>
      <c r="D124" s="1073"/>
      <c r="E124" s="1076"/>
      <c r="F124" s="1073"/>
      <c r="G124" s="1076"/>
      <c r="H124" s="1076"/>
      <c r="I124" s="1073"/>
      <c r="J124" s="1076"/>
      <c r="K124" s="1073"/>
      <c r="L124" s="1074"/>
    </row>
    <row r="125" spans="1:12" ht="16.5">
      <c r="B125" s="1073"/>
      <c r="C125" s="1073"/>
      <c r="D125" s="1073"/>
      <c r="E125" s="1079"/>
      <c r="F125" s="1073"/>
      <c r="G125" s="1073"/>
      <c r="H125" s="1073"/>
      <c r="I125" s="1073"/>
      <c r="J125" s="1073"/>
      <c r="K125" s="1073"/>
      <c r="L125" s="1074"/>
    </row>
    <row r="126" spans="1:12" ht="16.5">
      <c r="B126" s="1073"/>
      <c r="C126" s="1073"/>
      <c r="D126" s="1079"/>
      <c r="E126" s="1079"/>
      <c r="F126" s="1073"/>
      <c r="G126" s="1073"/>
      <c r="H126" s="1073"/>
      <c r="I126" s="1073"/>
      <c r="J126" s="1073"/>
      <c r="K126" s="1073"/>
      <c r="L126" s="1074"/>
    </row>
    <row r="127" spans="1:12" ht="16.5">
      <c r="B127" s="1073"/>
      <c r="C127" s="1073"/>
      <c r="D127" s="1079"/>
      <c r="E127" s="1079"/>
      <c r="F127" s="1073"/>
      <c r="G127" s="1073"/>
      <c r="H127" s="1073"/>
      <c r="I127" s="1073"/>
      <c r="J127" s="1073"/>
      <c r="K127" s="1073"/>
      <c r="L127" s="1074"/>
    </row>
    <row r="128" spans="1:12" ht="16.5">
      <c r="B128" s="1073"/>
      <c r="C128" s="1073"/>
      <c r="D128" s="1079"/>
      <c r="E128" s="1079"/>
      <c r="F128" s="1073"/>
      <c r="G128" s="1073"/>
      <c r="H128" s="1073"/>
      <c r="I128" s="1073"/>
      <c r="J128" s="1073"/>
      <c r="K128" s="1073"/>
      <c r="L128" s="1074"/>
    </row>
    <row r="129" spans="2:12" ht="16.5">
      <c r="B129" s="1073"/>
      <c r="C129" s="1073"/>
      <c r="D129" s="1079"/>
      <c r="E129" s="1079"/>
      <c r="F129" s="1073"/>
      <c r="G129" s="1073"/>
      <c r="H129" s="1073"/>
      <c r="I129" s="1073"/>
      <c r="J129" s="1073"/>
      <c r="K129" s="1073"/>
      <c r="L129" s="1074"/>
    </row>
    <row r="130" spans="2:12" ht="16.5">
      <c r="B130" s="1073"/>
      <c r="C130" s="1073"/>
      <c r="D130" s="1079"/>
      <c r="E130" s="1079"/>
      <c r="F130" s="1073"/>
      <c r="G130" s="1073"/>
      <c r="H130" s="1073"/>
      <c r="I130" s="1073"/>
      <c r="J130" s="1073"/>
      <c r="K130" s="1073"/>
      <c r="L130" s="1074"/>
    </row>
    <row r="131" spans="2:12" ht="16.5">
      <c r="B131" s="1073"/>
      <c r="C131" s="1073"/>
      <c r="D131" s="1079"/>
      <c r="E131" s="1079"/>
      <c r="F131" s="1073"/>
      <c r="G131" s="1073"/>
      <c r="H131" s="1073"/>
      <c r="I131" s="1073"/>
      <c r="J131" s="1073"/>
      <c r="K131" s="1073"/>
      <c r="L131" s="1074"/>
    </row>
    <row r="132" spans="2:12" ht="16.5">
      <c r="B132" s="1078"/>
      <c r="C132" s="1073"/>
      <c r="D132" s="1079"/>
      <c r="E132" s="1079"/>
      <c r="F132" s="1073"/>
      <c r="G132" s="1073"/>
      <c r="H132" s="1073"/>
      <c r="I132" s="1073"/>
      <c r="J132" s="1073"/>
      <c r="K132" s="1073"/>
      <c r="L132" s="1074"/>
    </row>
    <row r="133" spans="2:12" ht="16.5">
      <c r="B133" s="1078"/>
      <c r="C133" s="1073"/>
      <c r="D133" s="1079"/>
      <c r="E133" s="1073"/>
      <c r="F133" s="1073"/>
      <c r="G133" s="1073"/>
      <c r="H133" s="1073"/>
      <c r="I133" s="1073"/>
      <c r="J133" s="1073"/>
      <c r="K133" s="1073"/>
      <c r="L133" s="1074"/>
    </row>
    <row r="134" spans="2:12" ht="16.5">
      <c r="B134" s="1078"/>
      <c r="C134" s="1073"/>
      <c r="D134" s="1073"/>
      <c r="E134" s="1073"/>
      <c r="F134" s="1073"/>
      <c r="G134" s="1073"/>
      <c r="H134" s="1073"/>
      <c r="I134" s="1073"/>
      <c r="J134" s="1073"/>
      <c r="K134" s="1073"/>
      <c r="L134" s="1074"/>
    </row>
    <row r="135" spans="2:12" ht="16.5">
      <c r="B135" s="1073"/>
      <c r="C135" s="1073"/>
      <c r="D135" s="1073"/>
      <c r="E135" s="1073"/>
      <c r="F135" s="1073"/>
      <c r="G135" s="1073"/>
      <c r="H135" s="1073"/>
      <c r="I135" s="1073"/>
      <c r="J135" s="1073"/>
      <c r="K135" s="1073"/>
      <c r="L135" s="1074"/>
    </row>
    <row r="136" spans="2:12" ht="16.5">
      <c r="B136" s="1073"/>
      <c r="C136" s="1073"/>
      <c r="D136" s="1073"/>
      <c r="E136" s="1073"/>
      <c r="F136" s="1073"/>
      <c r="G136" s="1073"/>
      <c r="H136" s="1073"/>
      <c r="I136" s="1073"/>
      <c r="J136" s="1073"/>
      <c r="K136" s="1073"/>
      <c r="L136" s="1074"/>
    </row>
    <row r="137" spans="2:12" ht="16.5">
      <c r="B137" s="1074"/>
      <c r="C137" s="1074"/>
      <c r="D137" s="1074"/>
      <c r="E137" s="1074"/>
      <c r="F137" s="1074"/>
      <c r="G137" s="1074"/>
      <c r="H137" s="1074"/>
      <c r="I137" s="1074"/>
      <c r="J137" s="1074"/>
      <c r="K137" s="1074"/>
      <c r="L137" s="1074"/>
    </row>
    <row r="138" spans="2:12" ht="16.5">
      <c r="B138" s="1074"/>
      <c r="C138" s="1074"/>
      <c r="D138" s="1074"/>
      <c r="E138" s="1074"/>
      <c r="F138" s="1074"/>
      <c r="G138" s="1074"/>
      <c r="H138" s="1074"/>
      <c r="I138" s="1074"/>
      <c r="J138" s="1074"/>
      <c r="K138" s="1074"/>
      <c r="L138" s="1074"/>
    </row>
    <row r="139" spans="2:12" ht="16.5">
      <c r="B139" s="1074"/>
      <c r="C139" s="1074"/>
      <c r="D139" s="1074"/>
      <c r="E139" s="1074"/>
      <c r="F139" s="1074"/>
      <c r="G139" s="1074"/>
      <c r="H139" s="1074"/>
      <c r="I139" s="1074"/>
      <c r="J139" s="1074"/>
      <c r="K139" s="1074"/>
      <c r="L139" s="1074"/>
    </row>
    <row r="140" spans="2:12" ht="16.5">
      <c r="B140" s="1074"/>
      <c r="C140" s="1074"/>
      <c r="D140" s="1074"/>
      <c r="E140" s="1074"/>
      <c r="F140" s="1074"/>
      <c r="G140" s="1074"/>
      <c r="H140" s="1074"/>
      <c r="I140" s="1074"/>
      <c r="J140" s="1074"/>
      <c r="K140" s="1074"/>
      <c r="L140" s="1074"/>
    </row>
    <row r="141" spans="2:12" ht="16.5">
      <c r="B141" s="1074"/>
      <c r="C141" s="1074"/>
      <c r="D141" s="1074"/>
      <c r="E141" s="1074"/>
      <c r="F141" s="1074"/>
      <c r="G141" s="1074"/>
      <c r="H141" s="1074"/>
      <c r="I141" s="1074"/>
      <c r="J141" s="1074"/>
      <c r="K141" s="1074"/>
      <c r="L141" s="1074"/>
    </row>
    <row r="142" spans="2:12" ht="16.5">
      <c r="B142" s="1074"/>
      <c r="C142" s="1074"/>
      <c r="D142" s="1074"/>
      <c r="E142" s="1074"/>
      <c r="F142" s="1074"/>
      <c r="G142" s="1074"/>
      <c r="H142" s="1074"/>
      <c r="I142" s="1074"/>
      <c r="J142" s="1074"/>
      <c r="K142" s="1074"/>
      <c r="L142" s="1074"/>
    </row>
    <row r="143" spans="2:12" ht="16.5">
      <c r="B143" s="1074"/>
      <c r="C143" s="1074"/>
      <c r="D143" s="1074"/>
      <c r="E143" s="1074"/>
      <c r="F143" s="1074"/>
      <c r="G143" s="1074"/>
      <c r="H143" s="1074"/>
      <c r="I143" s="1074"/>
      <c r="J143" s="1074"/>
      <c r="K143" s="1074"/>
      <c r="L143" s="1074"/>
    </row>
    <row r="144" spans="2:12" ht="16.5">
      <c r="B144" s="1074"/>
      <c r="C144" s="1074"/>
      <c r="D144" s="1074"/>
      <c r="E144" s="1074"/>
      <c r="F144" s="1074"/>
      <c r="G144" s="1074"/>
      <c r="H144" s="1074"/>
      <c r="I144" s="1074"/>
      <c r="J144" s="1074"/>
      <c r="K144" s="1074"/>
      <c r="L144" s="1074"/>
    </row>
    <row r="145" spans="2:12" ht="16.5">
      <c r="B145" s="1074"/>
      <c r="C145" s="1074"/>
      <c r="D145" s="1074"/>
      <c r="E145" s="1074"/>
      <c r="F145" s="1074"/>
      <c r="G145" s="1074"/>
      <c r="H145" s="1074"/>
      <c r="I145" s="1074"/>
      <c r="J145" s="1074"/>
      <c r="K145" s="1074"/>
      <c r="L145" s="1074"/>
    </row>
    <row r="146" spans="2:12" ht="16.5">
      <c r="B146" s="1074"/>
      <c r="C146" s="1074"/>
      <c r="D146" s="1074"/>
      <c r="E146" s="1074"/>
      <c r="F146" s="1074"/>
      <c r="G146" s="1074"/>
      <c r="H146" s="1074"/>
      <c r="I146" s="1074"/>
      <c r="J146" s="1074"/>
      <c r="K146" s="1074"/>
      <c r="L146" s="1074"/>
    </row>
    <row r="147" spans="2:12" ht="16.5">
      <c r="B147" s="1074"/>
      <c r="C147" s="1074"/>
      <c r="D147" s="1074"/>
      <c r="E147" s="1074"/>
      <c r="F147" s="1074"/>
      <c r="G147" s="1074"/>
      <c r="H147" s="1074"/>
      <c r="I147" s="1074"/>
      <c r="J147" s="1074"/>
      <c r="K147" s="1074"/>
      <c r="L147" s="1074"/>
    </row>
    <row r="148" spans="2:12" ht="16.5">
      <c r="B148" s="1074"/>
      <c r="C148" s="1074"/>
      <c r="D148" s="1074"/>
      <c r="E148" s="1074"/>
      <c r="F148" s="1074"/>
      <c r="G148" s="1074"/>
      <c r="H148" s="1074"/>
      <c r="I148" s="1074"/>
      <c r="J148" s="1074"/>
      <c r="K148" s="1074"/>
      <c r="L148" s="1074"/>
    </row>
    <row r="149" spans="2:12" ht="16.5">
      <c r="B149" s="1074"/>
      <c r="C149" s="1074"/>
      <c r="D149" s="1074"/>
      <c r="E149" s="1074"/>
      <c r="F149" s="1074"/>
      <c r="G149" s="1074"/>
      <c r="H149" s="1074"/>
      <c r="I149" s="1074"/>
      <c r="J149" s="1074"/>
      <c r="K149" s="1074"/>
      <c r="L149" s="1074"/>
    </row>
    <row r="150" spans="2:12" ht="16.5">
      <c r="B150" s="1074"/>
      <c r="C150" s="1074"/>
      <c r="D150" s="1074"/>
      <c r="E150" s="1074"/>
      <c r="F150" s="1074"/>
      <c r="G150" s="1074"/>
      <c r="H150" s="1074"/>
      <c r="I150" s="1074"/>
      <c r="J150" s="1074"/>
      <c r="K150" s="1074"/>
      <c r="L150" s="1074"/>
    </row>
    <row r="151" spans="2:12" ht="16.5">
      <c r="B151" s="1074"/>
      <c r="C151" s="1074"/>
      <c r="D151" s="1074"/>
      <c r="E151" s="1074"/>
      <c r="F151" s="1074"/>
      <c r="G151" s="1074"/>
      <c r="H151" s="1074"/>
      <c r="I151" s="1074"/>
      <c r="J151" s="1074"/>
      <c r="K151" s="1074"/>
      <c r="L151" s="1074"/>
    </row>
    <row r="152" spans="2:12" ht="16.5">
      <c r="B152" s="1074"/>
      <c r="C152" s="1074"/>
      <c r="D152" s="1074"/>
      <c r="E152" s="1074"/>
      <c r="F152" s="1074"/>
      <c r="G152" s="1074"/>
      <c r="H152" s="1074"/>
      <c r="I152" s="1074"/>
      <c r="J152" s="1074"/>
      <c r="K152" s="1074"/>
      <c r="L152" s="1074"/>
    </row>
    <row r="153" spans="2:12" ht="16.5">
      <c r="B153" s="1074"/>
      <c r="C153" s="1074"/>
      <c r="D153" s="1074"/>
      <c r="E153" s="1074"/>
      <c r="F153" s="1074"/>
      <c r="G153" s="1074"/>
      <c r="H153" s="1074"/>
      <c r="I153" s="1074"/>
      <c r="J153" s="1074"/>
      <c r="K153" s="1074"/>
      <c r="L153" s="1074"/>
    </row>
    <row r="154" spans="2:12" ht="16.5">
      <c r="B154" s="1074"/>
      <c r="C154" s="1074"/>
      <c r="D154" s="1074"/>
      <c r="E154" s="1074"/>
      <c r="F154" s="1074"/>
      <c r="G154" s="1074"/>
      <c r="H154" s="1074"/>
      <c r="I154" s="1074"/>
      <c r="J154" s="1074"/>
      <c r="K154" s="1074"/>
      <c r="L154" s="1074"/>
    </row>
    <row r="155" spans="2:12" ht="16.5">
      <c r="B155" s="1074"/>
      <c r="C155" s="1074"/>
      <c r="D155" s="1074"/>
      <c r="E155" s="1074"/>
      <c r="F155" s="1074"/>
      <c r="G155" s="1074"/>
      <c r="H155" s="1074"/>
      <c r="I155" s="1074"/>
      <c r="J155" s="1074"/>
      <c r="K155" s="1074"/>
      <c r="L155" s="1074"/>
    </row>
    <row r="156" spans="2:12" ht="16.5">
      <c r="B156" s="1074"/>
      <c r="C156" s="1074"/>
      <c r="D156" s="1074"/>
      <c r="E156" s="1074"/>
      <c r="F156" s="1074"/>
      <c r="G156" s="1074"/>
      <c r="H156" s="1074"/>
      <c r="I156" s="1074"/>
      <c r="J156" s="1074"/>
      <c r="K156" s="1074"/>
      <c r="L156" s="1074"/>
    </row>
    <row r="157" spans="2:12" ht="16.5">
      <c r="B157" s="1074"/>
      <c r="C157" s="1074"/>
      <c r="D157" s="1074"/>
      <c r="E157" s="1074"/>
      <c r="F157" s="1074"/>
      <c r="G157" s="1074"/>
      <c r="H157" s="1074"/>
      <c r="I157" s="1074"/>
      <c r="J157" s="1074"/>
      <c r="K157" s="1074"/>
      <c r="L157" s="1074"/>
    </row>
    <row r="158" spans="2:12" ht="16.5">
      <c r="B158" s="1074"/>
      <c r="C158" s="1074"/>
      <c r="D158" s="1074"/>
      <c r="E158" s="1074"/>
      <c r="F158" s="1074"/>
      <c r="G158" s="1074"/>
      <c r="H158" s="1074"/>
      <c r="I158" s="1074"/>
      <c r="J158" s="1074"/>
      <c r="K158" s="1074"/>
      <c r="L158" s="1074"/>
    </row>
    <row r="159" spans="2:12" ht="16.5">
      <c r="B159" s="1074"/>
      <c r="C159" s="1074"/>
      <c r="D159" s="1074"/>
      <c r="E159" s="1074"/>
      <c r="F159" s="1074"/>
      <c r="G159" s="1074"/>
      <c r="H159" s="1074"/>
      <c r="I159" s="1074"/>
      <c r="J159" s="1074"/>
      <c r="K159" s="1074"/>
      <c r="L159" s="1074"/>
    </row>
    <row r="160" spans="2:12" ht="16.5">
      <c r="B160" s="1074"/>
      <c r="C160" s="1074"/>
      <c r="D160" s="1074"/>
      <c r="E160" s="1074"/>
      <c r="F160" s="1074"/>
      <c r="G160" s="1074"/>
      <c r="H160" s="1074"/>
      <c r="I160" s="1074"/>
      <c r="J160" s="1074"/>
      <c r="K160" s="1074"/>
      <c r="L160" s="1074"/>
    </row>
    <row r="161" spans="2:12" ht="16.5">
      <c r="B161" s="1074"/>
      <c r="C161" s="1074"/>
      <c r="D161" s="1074"/>
      <c r="E161" s="1074"/>
      <c r="F161" s="1074"/>
      <c r="G161" s="1074"/>
      <c r="H161" s="1074"/>
      <c r="I161" s="1074"/>
      <c r="J161" s="1074"/>
      <c r="K161" s="1074"/>
      <c r="L161" s="1074"/>
    </row>
    <row r="162" spans="2:12" ht="16.5">
      <c r="B162" s="1074"/>
      <c r="C162" s="1074"/>
      <c r="D162" s="1074"/>
      <c r="E162" s="1074"/>
      <c r="F162" s="1074"/>
      <c r="G162" s="1074"/>
      <c r="H162" s="1074"/>
      <c r="I162" s="1074"/>
      <c r="J162" s="1074"/>
      <c r="K162" s="1074"/>
      <c r="L162" s="1074"/>
    </row>
    <row r="163" spans="2:12" ht="16.5">
      <c r="B163" s="1074"/>
      <c r="C163" s="1074"/>
      <c r="D163" s="1074"/>
      <c r="E163" s="1074"/>
      <c r="F163" s="1074"/>
      <c r="G163" s="1074"/>
      <c r="H163" s="1074"/>
      <c r="I163" s="1074"/>
      <c r="J163" s="1074"/>
      <c r="K163" s="1074"/>
      <c r="L163" s="1074"/>
    </row>
    <row r="164" spans="2:12" ht="16.5">
      <c r="B164" s="1074"/>
      <c r="C164" s="1074"/>
      <c r="D164" s="1074"/>
      <c r="E164" s="1074"/>
      <c r="F164" s="1074"/>
      <c r="G164" s="1074"/>
      <c r="H164" s="1074"/>
      <c r="I164" s="1074"/>
      <c r="J164" s="1074"/>
      <c r="K164" s="1074"/>
      <c r="L164" s="1074"/>
    </row>
    <row r="165" spans="2:12" ht="16.5">
      <c r="B165" s="1074"/>
      <c r="C165" s="1074"/>
      <c r="D165" s="1074"/>
      <c r="E165" s="1074"/>
      <c r="F165" s="1074"/>
      <c r="G165" s="1074"/>
      <c r="H165" s="1074"/>
      <c r="I165" s="1074"/>
      <c r="J165" s="1074"/>
      <c r="K165" s="1074"/>
      <c r="L165" s="1074"/>
    </row>
    <row r="166" spans="2:12" ht="16.5">
      <c r="B166" s="1074"/>
      <c r="C166" s="1074"/>
      <c r="D166" s="1074"/>
      <c r="E166" s="1074"/>
      <c r="F166" s="1074"/>
      <c r="G166" s="1074"/>
      <c r="H166" s="1074"/>
      <c r="I166" s="1074"/>
      <c r="J166" s="1074"/>
      <c r="K166" s="1074"/>
      <c r="L166" s="1074"/>
    </row>
    <row r="167" spans="2:12" ht="16.5">
      <c r="B167" s="1074"/>
      <c r="C167" s="1074"/>
      <c r="D167" s="1074"/>
      <c r="E167" s="1074"/>
      <c r="F167" s="1074"/>
      <c r="G167" s="1074"/>
      <c r="H167" s="1074"/>
      <c r="I167" s="1074"/>
      <c r="J167" s="1074"/>
      <c r="K167" s="1074"/>
      <c r="L167" s="1074"/>
    </row>
    <row r="168" spans="2:12" ht="16.5">
      <c r="B168" s="1074"/>
      <c r="C168" s="1074"/>
      <c r="D168" s="1074"/>
      <c r="E168" s="1074"/>
      <c r="F168" s="1074"/>
      <c r="G168" s="1074"/>
      <c r="H168" s="1074"/>
      <c r="I168" s="1074"/>
      <c r="J168" s="1074"/>
      <c r="K168" s="1074"/>
      <c r="L168" s="1074"/>
    </row>
    <row r="169" spans="2:12" ht="16.5">
      <c r="B169" s="1074"/>
      <c r="C169" s="1074"/>
      <c r="D169" s="1074"/>
      <c r="E169" s="1074"/>
      <c r="F169" s="1074"/>
      <c r="G169" s="1074"/>
      <c r="H169" s="1074"/>
      <c r="I169" s="1074"/>
      <c r="J169" s="1074"/>
      <c r="K169" s="1074"/>
      <c r="L169" s="1074"/>
    </row>
    <row r="188" spans="1:3">
      <c r="A188" s="1063"/>
      <c r="B188" s="971"/>
      <c r="C188" s="971"/>
    </row>
  </sheetData>
  <mergeCells count="8">
    <mergeCell ref="B111:J111"/>
    <mergeCell ref="B11:F11"/>
    <mergeCell ref="G28:I28"/>
    <mergeCell ref="A1:J1"/>
    <mergeCell ref="A2:J2"/>
    <mergeCell ref="A3:J3"/>
    <mergeCell ref="E6:G6"/>
    <mergeCell ref="H15:I15"/>
  </mergeCells>
  <hyperlinks>
    <hyperlink ref="B97" r:id="rId1" display="http://online.wsj.com/mdc/public/page/2_3020-libor.html" xr:uid="{00000000-0004-0000-0800-000000000000}"/>
  </hyperlinks>
  <pageMargins left="0.5" right="0.25" top="0.5" bottom="0.5" header="0.3" footer="0.3"/>
  <pageSetup scale="43" orientation="portrait" r:id="rId2"/>
  <drawing r:id="rId3"/>
  <legacyDrawing r:id="rId4"/>
  <oleObjects>
    <mc:AlternateContent xmlns:mc="http://schemas.openxmlformats.org/markup-compatibility/2006">
      <mc:Choice Requires="x14">
        <oleObject progId="Equation.3" shapeId="2049" r:id="rId5">
          <objectPr defaultSize="0" autoPict="0" r:id="rId6">
            <anchor moveWithCells="1" sizeWithCells="1">
              <from>
                <xdr:col>1</xdr:col>
                <xdr:colOff>361950</xdr:colOff>
                <xdr:row>3</xdr:row>
                <xdr:rowOff>152400</xdr:rowOff>
              </from>
              <to>
                <xdr:col>2</xdr:col>
                <xdr:colOff>1009650</xdr:colOff>
                <xdr:row>3</xdr:row>
                <xdr:rowOff>152400</xdr:rowOff>
              </to>
            </anchor>
          </objectPr>
        </oleObject>
      </mc:Choice>
      <mc:Fallback>
        <oleObject progId="Equation.3" shapeId="2049" r:id="rId5"/>
      </mc:Fallback>
    </mc:AlternateContent>
    <mc:AlternateContent xmlns:mc="http://schemas.openxmlformats.org/markup-compatibility/2006">
      <mc:Choice Requires="x14">
        <oleObject progId="Equation.3" shapeId="2050" r:id="rId7">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0" r:id="rId7"/>
      </mc:Fallback>
    </mc:AlternateContent>
    <mc:AlternateContent xmlns:mc="http://schemas.openxmlformats.org/markup-compatibility/2006">
      <mc:Choice Requires="x14">
        <oleObject progId="Equation.3" shapeId="2051" r:id="rId9">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1" r:id="rId9"/>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sheetPr>
  <dimension ref="A1:U521"/>
  <sheetViews>
    <sheetView view="pageBreakPreview" topLeftCell="A94" zoomScale="60" zoomScaleNormal="100" workbookViewId="0">
      <selection activeCell="D91" sqref="D91"/>
    </sheetView>
  </sheetViews>
  <sheetFormatPr defaultColWidth="8.77734375" defaultRowHeight="15"/>
  <cols>
    <col min="1" max="1" width="5.21875" style="455" customWidth="1"/>
    <col min="2" max="2" width="51.44140625" style="464" customWidth="1"/>
    <col min="3" max="3" width="22.109375" style="455" customWidth="1"/>
    <col min="4" max="4" width="22.21875" style="455" customWidth="1"/>
    <col min="5" max="5" width="20.21875" style="455" customWidth="1"/>
    <col min="6" max="6" width="16.77734375" style="455" customWidth="1"/>
    <col min="7" max="7" width="20.77734375" style="455" customWidth="1"/>
    <col min="8" max="8" width="114.77734375" style="455" bestFit="1" customWidth="1"/>
    <col min="9" max="16384" width="8.77734375" style="455"/>
  </cols>
  <sheetData>
    <row r="1" spans="1:21" ht="18">
      <c r="B1" s="1589" t="str">
        <f>+'Appendix III'!E8</f>
        <v>MidAmerican Central California Transco, LLC</v>
      </c>
      <c r="C1" s="1590"/>
      <c r="D1" s="1590"/>
      <c r="E1" s="1590"/>
      <c r="F1" s="1590"/>
      <c r="G1" s="1590"/>
      <c r="H1" s="1590"/>
      <c r="I1" s="454"/>
      <c r="J1" s="454"/>
    </row>
    <row r="2" spans="1:21" ht="18">
      <c r="B2" s="1589" t="s">
        <v>358</v>
      </c>
      <c r="C2" s="1589"/>
      <c r="D2" s="1589"/>
      <c r="E2" s="1589"/>
      <c r="F2" s="1589"/>
      <c r="G2" s="1589"/>
      <c r="H2" s="1589"/>
      <c r="I2" s="454"/>
      <c r="J2" s="454"/>
    </row>
    <row r="3" spans="1:21" ht="18">
      <c r="B3" s="1589" t="s">
        <v>199</v>
      </c>
      <c r="C3" s="1589"/>
      <c r="D3" s="1589"/>
      <c r="E3" s="1589"/>
      <c r="F3" s="1589"/>
      <c r="G3" s="1589"/>
      <c r="H3" s="1589"/>
      <c r="I3" s="454"/>
      <c r="J3" s="454"/>
    </row>
    <row r="4" spans="1:21" s="456" customFormat="1" ht="18">
      <c r="B4" s="499"/>
      <c r="C4" s="499"/>
      <c r="D4" s="499"/>
      <c r="E4" s="499"/>
      <c r="F4" s="499"/>
      <c r="G4" s="499"/>
      <c r="H4" s="499"/>
      <c r="I4" s="675"/>
      <c r="J4" s="675"/>
    </row>
    <row r="5" spans="1:21" s="456" customFormat="1" ht="18">
      <c r="B5" s="518"/>
      <c r="C5" s="519"/>
      <c r="D5" s="499"/>
      <c r="E5" s="499"/>
      <c r="F5" s="519"/>
      <c r="G5" s="499"/>
      <c r="H5" s="519"/>
    </row>
    <row r="6" spans="1:21" s="456" customFormat="1" ht="18">
      <c r="B6" s="518"/>
      <c r="C6" s="519"/>
      <c r="D6" s="500" t="s">
        <v>26</v>
      </c>
      <c r="E6" s="500" t="s">
        <v>331</v>
      </c>
      <c r="F6" s="500" t="s">
        <v>326</v>
      </c>
      <c r="G6" s="500" t="s">
        <v>21</v>
      </c>
      <c r="H6" s="519"/>
      <c r="J6" s="457"/>
      <c r="K6" s="457"/>
      <c r="L6" s="457"/>
      <c r="M6" s="457"/>
      <c r="N6" s="457"/>
      <c r="O6" s="457"/>
      <c r="P6" s="457"/>
      <c r="Q6" s="457"/>
      <c r="R6" s="457"/>
      <c r="S6" s="457"/>
      <c r="T6" s="457"/>
      <c r="U6" s="458"/>
    </row>
    <row r="7" spans="1:21" s="456" customFormat="1" ht="18">
      <c r="A7" s="456" t="s">
        <v>661</v>
      </c>
      <c r="B7" s="518" t="s">
        <v>268</v>
      </c>
      <c r="C7" s="519"/>
      <c r="D7" s="500" t="s">
        <v>332</v>
      </c>
      <c r="E7" s="500" t="s">
        <v>332</v>
      </c>
      <c r="F7" s="500" t="s">
        <v>332</v>
      </c>
      <c r="G7" s="500" t="s">
        <v>2</v>
      </c>
      <c r="H7" s="519"/>
      <c r="J7" s="457"/>
      <c r="K7" s="457"/>
      <c r="L7" s="457"/>
      <c r="M7" s="457"/>
      <c r="N7" s="457"/>
      <c r="O7" s="457"/>
      <c r="P7" s="457"/>
      <c r="Q7" s="457"/>
      <c r="R7" s="457"/>
      <c r="S7" s="457"/>
      <c r="T7" s="457"/>
      <c r="U7" s="458"/>
    </row>
    <row r="8" spans="1:21" s="456" customFormat="1" ht="18">
      <c r="B8" s="569"/>
      <c r="C8" s="519"/>
      <c r="D8" s="519"/>
      <c r="E8" s="519"/>
      <c r="F8" s="519"/>
      <c r="G8" s="519"/>
      <c r="H8" s="519"/>
    </row>
    <row r="9" spans="1:21" s="456" customFormat="1" ht="18">
      <c r="A9" s="456">
        <v>1</v>
      </c>
      <c r="B9" s="519" t="s">
        <v>333</v>
      </c>
      <c r="D9" s="520">
        <f>+E67</f>
        <v>0</v>
      </c>
      <c r="E9" s="520">
        <f>+F67</f>
        <v>0</v>
      </c>
      <c r="F9" s="520">
        <f>+G67</f>
        <v>0</v>
      </c>
      <c r="G9" s="520"/>
      <c r="H9" s="519" t="s">
        <v>334</v>
      </c>
    </row>
    <row r="10" spans="1:21" s="456" customFormat="1" ht="18">
      <c r="A10" s="456">
        <f>+A9+1</f>
        <v>2</v>
      </c>
      <c r="B10" s="519" t="s">
        <v>335</v>
      </c>
      <c r="D10" s="520">
        <f>+E96</f>
        <v>-2441685</v>
      </c>
      <c r="E10" s="520">
        <f>+F96</f>
        <v>0</v>
      </c>
      <c r="F10" s="520">
        <f>+G96</f>
        <v>0</v>
      </c>
      <c r="G10" s="520"/>
      <c r="H10" s="519" t="s">
        <v>336</v>
      </c>
    </row>
    <row r="11" spans="1:21" s="456" customFormat="1" ht="18">
      <c r="A11" s="456">
        <f t="shared" ref="A11:A74" si="0">+A10+1</f>
        <v>3</v>
      </c>
      <c r="B11" s="519" t="s">
        <v>337</v>
      </c>
      <c r="D11" s="520">
        <f>E39</f>
        <v>0</v>
      </c>
      <c r="E11" s="520">
        <f>F39</f>
        <v>0</v>
      </c>
      <c r="F11" s="520">
        <f>G39</f>
        <v>0</v>
      </c>
      <c r="G11" s="520"/>
      <c r="H11" s="519" t="s">
        <v>338</v>
      </c>
    </row>
    <row r="12" spans="1:21" s="456" customFormat="1" ht="18">
      <c r="A12" s="456">
        <f t="shared" si="0"/>
        <v>4</v>
      </c>
      <c r="B12" s="519" t="s">
        <v>339</v>
      </c>
      <c r="D12" s="520">
        <f>SUM(D9:D11)</f>
        <v>-2441685</v>
      </c>
      <c r="E12" s="520">
        <f>SUM(E9:E11)</f>
        <v>0</v>
      </c>
      <c r="F12" s="520">
        <f>SUM(F9:F11)</f>
        <v>0</v>
      </c>
      <c r="G12" s="520"/>
      <c r="H12" s="521"/>
    </row>
    <row r="13" spans="1:21" s="456" customFormat="1" ht="18">
      <c r="A13" s="456">
        <f t="shared" si="0"/>
        <v>5</v>
      </c>
      <c r="B13" s="519" t="s">
        <v>340</v>
      </c>
      <c r="D13" s="519"/>
      <c r="E13" s="519"/>
      <c r="F13" s="727">
        <f>+'Appendix III'!J196</f>
        <v>1</v>
      </c>
      <c r="G13" s="519"/>
      <c r="H13" s="519" t="s">
        <v>1035</v>
      </c>
    </row>
    <row r="14" spans="1:21" s="456" customFormat="1" ht="18">
      <c r="A14" s="456">
        <f t="shared" si="0"/>
        <v>6</v>
      </c>
      <c r="B14" s="519" t="s">
        <v>38</v>
      </c>
      <c r="D14" s="519"/>
      <c r="E14" s="523">
        <f>+'6b- ADIT'!E14</f>
        <v>1</v>
      </c>
      <c r="F14" s="519"/>
      <c r="G14" s="519"/>
      <c r="H14" s="519" t="s">
        <v>1036</v>
      </c>
    </row>
    <row r="15" spans="1:21" s="456" customFormat="1" ht="18">
      <c r="A15" s="456">
        <f t="shared" si="0"/>
        <v>7</v>
      </c>
      <c r="B15" s="519" t="s">
        <v>199</v>
      </c>
      <c r="D15" s="520">
        <f>+D12</f>
        <v>-2441685</v>
      </c>
      <c r="E15" s="520">
        <f>+E14*E12</f>
        <v>0</v>
      </c>
      <c r="F15" s="520">
        <f>+F13*F12</f>
        <v>0</v>
      </c>
      <c r="G15" s="520">
        <f>+D15+E15+F15</f>
        <v>-2441685</v>
      </c>
      <c r="H15" s="522"/>
    </row>
    <row r="16" spans="1:21" s="456" customFormat="1" ht="18">
      <c r="A16" s="456">
        <f t="shared" si="0"/>
        <v>8</v>
      </c>
      <c r="B16" s="519" t="str">
        <f>"End of year from Attachment 6b, line "&amp;'6b- ADIT'!A15&amp;""</f>
        <v>End of year from Attachment 6b, line 7</v>
      </c>
      <c r="D16" s="520">
        <f>+'6b- ADIT'!D15</f>
        <v>-2041001</v>
      </c>
      <c r="E16" s="520">
        <f>+'6b- ADIT'!E15</f>
        <v>0</v>
      </c>
      <c r="F16" s="520">
        <f>+'6b- ADIT'!F15</f>
        <v>0</v>
      </c>
      <c r="G16" s="520">
        <f>+D16+E16+F16</f>
        <v>-2041001</v>
      </c>
      <c r="H16" s="522"/>
    </row>
    <row r="17" spans="1:9" s="456" customFormat="1" ht="18">
      <c r="A17" s="456">
        <f t="shared" si="0"/>
        <v>9</v>
      </c>
      <c r="B17" s="519" t="s">
        <v>361</v>
      </c>
      <c r="D17" s="520">
        <f>+D15/2+D16/2</f>
        <v>-2241343</v>
      </c>
      <c r="E17" s="520">
        <f>+E15/2+E16/2</f>
        <v>0</v>
      </c>
      <c r="F17" s="520">
        <f>+F15/2+F16/2</f>
        <v>0</v>
      </c>
      <c r="G17" s="520">
        <f>+D17+E17+F17</f>
        <v>-2241343</v>
      </c>
      <c r="H17" s="522" t="str">
        <f>"Enter as negative Appendix III, line "&amp;'Appendix III'!A73&amp;"."</f>
        <v>Enter as negative Appendix III, line 17.</v>
      </c>
    </row>
    <row r="18" spans="1:9" s="456" customFormat="1" ht="18">
      <c r="A18" s="456">
        <f t="shared" si="0"/>
        <v>10</v>
      </c>
      <c r="B18" s="519"/>
      <c r="C18" s="519"/>
      <c r="D18" s="521"/>
      <c r="E18" s="519"/>
      <c r="F18" s="519"/>
      <c r="G18" s="519"/>
      <c r="H18" s="520"/>
    </row>
    <row r="19" spans="1:9" s="456" customFormat="1" ht="18">
      <c r="A19" s="456">
        <f t="shared" si="0"/>
        <v>11</v>
      </c>
      <c r="B19" s="519"/>
      <c r="C19" s="519"/>
      <c r="D19" s="519"/>
      <c r="E19" s="519"/>
      <c r="F19" s="519"/>
      <c r="G19" s="519"/>
      <c r="H19" s="523"/>
    </row>
    <row r="20" spans="1:9" s="456" customFormat="1" ht="18">
      <c r="A20" s="456">
        <f t="shared" si="0"/>
        <v>12</v>
      </c>
      <c r="B20" s="518" t="s">
        <v>342</v>
      </c>
      <c r="C20" s="519"/>
      <c r="D20" s="519"/>
      <c r="E20" s="519"/>
      <c r="F20" s="519"/>
      <c r="G20" s="519"/>
      <c r="H20" s="519"/>
    </row>
    <row r="21" spans="1:9" s="456" customFormat="1" ht="18">
      <c r="A21" s="456">
        <f t="shared" si="0"/>
        <v>13</v>
      </c>
      <c r="B21" s="518" t="s">
        <v>501</v>
      </c>
      <c r="C21" s="519"/>
      <c r="D21" s="519"/>
      <c r="E21" s="519"/>
      <c r="F21" s="519"/>
      <c r="G21" s="519"/>
      <c r="H21" s="519"/>
    </row>
    <row r="22" spans="1:9" s="456" customFormat="1" ht="18">
      <c r="A22" s="456">
        <f t="shared" si="0"/>
        <v>14</v>
      </c>
      <c r="B22" s="499" t="s">
        <v>77</v>
      </c>
      <c r="C22" s="499" t="s">
        <v>78</v>
      </c>
      <c r="D22" s="499" t="s">
        <v>79</v>
      </c>
      <c r="E22" s="499" t="s">
        <v>80</v>
      </c>
      <c r="F22" s="499" t="s">
        <v>81</v>
      </c>
      <c r="G22" s="499" t="s">
        <v>82</v>
      </c>
      <c r="H22" s="499" t="s">
        <v>84</v>
      </c>
    </row>
    <row r="23" spans="1:9" s="456" customFormat="1" ht="18">
      <c r="A23" s="456">
        <f t="shared" si="0"/>
        <v>15</v>
      </c>
      <c r="B23" s="518"/>
      <c r="C23" s="500" t="s">
        <v>21</v>
      </c>
      <c r="D23" s="500" t="s">
        <v>343</v>
      </c>
      <c r="E23" s="499"/>
      <c r="F23" s="499"/>
      <c r="G23" s="499"/>
      <c r="H23" s="519"/>
    </row>
    <row r="24" spans="1:9" s="456" customFormat="1" ht="18">
      <c r="A24" s="456">
        <f t="shared" si="0"/>
        <v>16</v>
      </c>
      <c r="B24" s="518" t="s">
        <v>337</v>
      </c>
      <c r="C24" s="500"/>
      <c r="D24" s="500" t="s">
        <v>344</v>
      </c>
      <c r="E24" s="500" t="s">
        <v>26</v>
      </c>
      <c r="F24" s="500" t="s">
        <v>331</v>
      </c>
      <c r="G24" s="500" t="s">
        <v>326</v>
      </c>
      <c r="H24" s="519"/>
    </row>
    <row r="25" spans="1:9" s="456" customFormat="1" ht="18">
      <c r="A25" s="456">
        <f t="shared" si="0"/>
        <v>17</v>
      </c>
      <c r="B25" s="518"/>
      <c r="C25" s="500"/>
      <c r="D25" s="500" t="s">
        <v>332</v>
      </c>
      <c r="E25" s="500" t="s">
        <v>332</v>
      </c>
      <c r="F25" s="500" t="s">
        <v>332</v>
      </c>
      <c r="G25" s="500" t="s">
        <v>332</v>
      </c>
      <c r="H25" s="499" t="s">
        <v>345</v>
      </c>
    </row>
    <row r="26" spans="1:9" ht="35.1" customHeight="1">
      <c r="A26" s="456">
        <f t="shared" si="0"/>
        <v>18</v>
      </c>
      <c r="B26" s="524"/>
      <c r="C26" s="472"/>
      <c r="D26" s="473"/>
      <c r="E26" s="473"/>
      <c r="F26" s="473"/>
      <c r="G26" s="473"/>
      <c r="H26" s="527"/>
      <c r="I26" s="459"/>
    </row>
    <row r="27" spans="1:9" ht="35.1" customHeight="1">
      <c r="A27" s="456">
        <f t="shared" si="0"/>
        <v>19</v>
      </c>
      <c r="B27" s="528"/>
      <c r="C27" s="472"/>
      <c r="D27" s="473"/>
      <c r="E27" s="473"/>
      <c r="F27" s="473"/>
      <c r="G27" s="473"/>
      <c r="H27" s="527"/>
      <c r="I27" s="459"/>
    </row>
    <row r="28" spans="1:9" ht="35.1" customHeight="1">
      <c r="A28" s="456">
        <f t="shared" si="0"/>
        <v>20</v>
      </c>
      <c r="B28" s="528"/>
      <c r="C28" s="472"/>
      <c r="D28" s="473"/>
      <c r="E28" s="473"/>
      <c r="F28" s="473"/>
      <c r="G28" s="473"/>
      <c r="H28" s="527"/>
      <c r="I28" s="459"/>
    </row>
    <row r="29" spans="1:9" ht="35.1" customHeight="1">
      <c r="A29" s="456">
        <f t="shared" si="0"/>
        <v>21</v>
      </c>
      <c r="B29" s="528"/>
      <c r="C29" s="472"/>
      <c r="D29" s="473"/>
      <c r="E29" s="473"/>
      <c r="F29" s="473"/>
      <c r="G29" s="473"/>
      <c r="H29" s="527"/>
      <c r="I29" s="459"/>
    </row>
    <row r="30" spans="1:9" ht="35.1" customHeight="1">
      <c r="A30" s="456">
        <f t="shared" si="0"/>
        <v>22</v>
      </c>
      <c r="B30" s="528"/>
      <c r="C30" s="525"/>
      <c r="D30" s="526"/>
      <c r="E30" s="526"/>
      <c r="F30" s="526"/>
      <c r="G30" s="526"/>
      <c r="H30" s="527"/>
      <c r="I30" s="459"/>
    </row>
    <row r="31" spans="1:9" ht="35.1" customHeight="1">
      <c r="A31" s="456">
        <f t="shared" si="0"/>
        <v>23</v>
      </c>
      <c r="B31" s="528"/>
      <c r="C31" s="525"/>
      <c r="D31" s="526"/>
      <c r="E31" s="526"/>
      <c r="F31" s="526"/>
      <c r="G31" s="526"/>
      <c r="H31" s="527"/>
      <c r="I31" s="459"/>
    </row>
    <row r="32" spans="1:9" ht="35.1" customHeight="1">
      <c r="A32" s="456">
        <f t="shared" si="0"/>
        <v>24</v>
      </c>
      <c r="B32" s="528"/>
      <c r="C32" s="525"/>
      <c r="D32" s="526"/>
      <c r="E32" s="526"/>
      <c r="F32" s="526"/>
      <c r="G32" s="526"/>
      <c r="H32" s="527"/>
      <c r="I32" s="459"/>
    </row>
    <row r="33" spans="1:9" ht="35.1" customHeight="1">
      <c r="A33" s="456">
        <f t="shared" si="0"/>
        <v>25</v>
      </c>
      <c r="B33" s="528"/>
      <c r="C33" s="525"/>
      <c r="D33" s="529"/>
      <c r="E33" s="526"/>
      <c r="F33" s="526"/>
      <c r="G33" s="526"/>
      <c r="H33" s="527"/>
      <c r="I33" s="459"/>
    </row>
    <row r="34" spans="1:9" ht="35.1" customHeight="1">
      <c r="A34" s="456">
        <f t="shared" si="0"/>
        <v>26</v>
      </c>
      <c r="B34" s="528"/>
      <c r="C34" s="525"/>
      <c r="D34" s="526"/>
      <c r="E34" s="526"/>
      <c r="F34" s="526"/>
      <c r="G34" s="526"/>
      <c r="H34" s="527"/>
      <c r="I34" s="459"/>
    </row>
    <row r="35" spans="1:9" ht="35.1" customHeight="1">
      <c r="A35" s="456">
        <f t="shared" si="0"/>
        <v>27</v>
      </c>
      <c r="B35" s="528"/>
      <c r="C35" s="525"/>
      <c r="D35" s="525"/>
      <c r="E35" s="525"/>
      <c r="F35" s="525"/>
      <c r="G35" s="525"/>
      <c r="H35" s="527"/>
      <c r="I35" s="459"/>
    </row>
    <row r="36" spans="1:9" ht="35.1" customHeight="1">
      <c r="A36" s="456">
        <f t="shared" si="0"/>
        <v>28</v>
      </c>
      <c r="B36" s="553" t="s">
        <v>346</v>
      </c>
      <c r="C36" s="554">
        <f>SUBTOTAL(9,C26:C35)</f>
        <v>0</v>
      </c>
      <c r="D36" s="542">
        <f>SUM(D26:D35)</f>
        <v>0</v>
      </c>
      <c r="E36" s="542">
        <f>SUM(E26:E35)</f>
        <v>0</v>
      </c>
      <c r="F36" s="542">
        <f>SUM(F26:F35)</f>
        <v>0</v>
      </c>
      <c r="G36" s="542">
        <f>SUM(G26:G35)</f>
        <v>0</v>
      </c>
      <c r="H36" s="530"/>
      <c r="I36" s="459"/>
    </row>
    <row r="37" spans="1:9" ht="35.1" customHeight="1">
      <c r="A37" s="456">
        <f t="shared" si="0"/>
        <v>29</v>
      </c>
      <c r="B37" s="555" t="s">
        <v>347</v>
      </c>
      <c r="C37" s="531"/>
      <c r="D37" s="531"/>
      <c r="E37" s="531"/>
      <c r="F37" s="532"/>
      <c r="G37" s="533"/>
      <c r="H37" s="527"/>
      <c r="I37" s="459"/>
    </row>
    <row r="38" spans="1:9" ht="35.1" customHeight="1">
      <c r="A38" s="456">
        <f t="shared" si="0"/>
        <v>30</v>
      </c>
      <c r="B38" s="556" t="s">
        <v>348</v>
      </c>
      <c r="C38" s="534"/>
      <c r="D38" s="534"/>
      <c r="E38" s="534"/>
      <c r="F38" s="534"/>
      <c r="G38" s="534"/>
      <c r="H38" s="535"/>
      <c r="I38" s="459"/>
    </row>
    <row r="39" spans="1:9" ht="35.1" customHeight="1" thickBot="1">
      <c r="A39" s="456">
        <f t="shared" si="0"/>
        <v>31</v>
      </c>
      <c r="B39" s="557" t="s">
        <v>21</v>
      </c>
      <c r="C39" s="558">
        <f>+C36-C37-C38</f>
        <v>0</v>
      </c>
      <c r="D39" s="558">
        <f>+D36-D37-D38</f>
        <v>0</v>
      </c>
      <c r="E39" s="558">
        <f>+E36-E37-E38</f>
        <v>0</v>
      </c>
      <c r="F39" s="558">
        <f>+F36-F37-F38</f>
        <v>0</v>
      </c>
      <c r="G39" s="558">
        <f>+G36-G37-G38</f>
        <v>0</v>
      </c>
      <c r="H39" s="559"/>
      <c r="I39" s="459"/>
    </row>
    <row r="40" spans="1:9" ht="35.1" customHeight="1" thickTop="1">
      <c r="A40" s="456">
        <f t="shared" si="0"/>
        <v>32</v>
      </c>
      <c r="B40" s="543" t="s">
        <v>349</v>
      </c>
      <c r="C40" s="544"/>
      <c r="D40" s="546"/>
      <c r="E40" s="545"/>
      <c r="F40" s="536"/>
      <c r="G40" s="560"/>
      <c r="H40" s="536"/>
    </row>
    <row r="41" spans="1:9" ht="35.1" customHeight="1">
      <c r="A41" s="456">
        <f t="shared" si="0"/>
        <v>33</v>
      </c>
      <c r="B41" s="1591" t="s">
        <v>350</v>
      </c>
      <c r="C41" s="1592"/>
      <c r="D41" s="1592"/>
      <c r="E41" s="1592"/>
      <c r="F41" s="1592"/>
      <c r="G41" s="1592"/>
      <c r="H41" s="536"/>
    </row>
    <row r="42" spans="1:9" ht="35.1" customHeight="1">
      <c r="A42" s="456">
        <f t="shared" si="0"/>
        <v>34</v>
      </c>
      <c r="B42" s="551" t="s">
        <v>351</v>
      </c>
      <c r="C42" s="536"/>
      <c r="D42" s="543"/>
      <c r="E42" s="543"/>
      <c r="F42" s="545"/>
      <c r="G42" s="545"/>
      <c r="H42" s="536"/>
    </row>
    <row r="43" spans="1:9" ht="35.1" customHeight="1">
      <c r="A43" s="456">
        <f t="shared" si="0"/>
        <v>35</v>
      </c>
      <c r="B43" s="551" t="s">
        <v>352</v>
      </c>
      <c r="C43" s="536"/>
      <c r="D43" s="543"/>
      <c r="E43" s="543"/>
      <c r="F43" s="545"/>
      <c r="G43" s="545"/>
      <c r="H43" s="536"/>
    </row>
    <row r="44" spans="1:9" ht="35.1" customHeight="1">
      <c r="A44" s="456">
        <f t="shared" si="0"/>
        <v>36</v>
      </c>
      <c r="B44" s="551" t="s">
        <v>353</v>
      </c>
      <c r="C44" s="536"/>
      <c r="D44" s="543"/>
      <c r="E44" s="543"/>
      <c r="F44" s="545"/>
      <c r="G44" s="545"/>
      <c r="H44" s="536"/>
    </row>
    <row r="45" spans="1:9" ht="35.1" customHeight="1">
      <c r="A45" s="456">
        <f t="shared" si="0"/>
        <v>37</v>
      </c>
      <c r="B45" s="1591" t="s">
        <v>579</v>
      </c>
      <c r="C45" s="1591"/>
      <c r="D45" s="1591"/>
      <c r="E45" s="1591"/>
      <c r="F45" s="1591"/>
      <c r="G45" s="1591"/>
      <c r="H45" s="537"/>
    </row>
    <row r="46" spans="1:9" ht="35.1" customHeight="1">
      <c r="A46" s="456">
        <f t="shared" si="0"/>
        <v>38</v>
      </c>
      <c r="B46" s="549"/>
      <c r="C46" s="549"/>
      <c r="D46" s="549"/>
      <c r="E46" s="549"/>
      <c r="F46" s="549"/>
      <c r="G46" s="549"/>
      <c r="H46" s="537"/>
    </row>
    <row r="47" spans="1:9" s="675" customFormat="1" ht="25.15" customHeight="1">
      <c r="A47" s="456">
        <f t="shared" si="0"/>
        <v>39</v>
      </c>
      <c r="B47" s="1589" t="str">
        <f>+B1</f>
        <v>MidAmerican Central California Transco, LLC</v>
      </c>
      <c r="C47" s="1590"/>
      <c r="D47" s="1590"/>
      <c r="E47" s="1590"/>
      <c r="F47" s="1590"/>
      <c r="G47" s="1590"/>
      <c r="H47" s="1590"/>
      <c r="I47" s="676"/>
    </row>
    <row r="48" spans="1:9" s="675" customFormat="1" ht="25.15" customHeight="1">
      <c r="A48" s="456">
        <f t="shared" si="0"/>
        <v>40</v>
      </c>
      <c r="B48" s="1589" t="s">
        <v>358</v>
      </c>
      <c r="C48" s="1589"/>
      <c r="D48" s="1589"/>
      <c r="E48" s="1589"/>
      <c r="F48" s="1589"/>
      <c r="G48" s="1589"/>
      <c r="H48" s="1589"/>
      <c r="I48" s="676"/>
    </row>
    <row r="49" spans="1:9" s="675" customFormat="1" ht="25.15" customHeight="1">
      <c r="A49" s="456">
        <f t="shared" si="0"/>
        <v>41</v>
      </c>
      <c r="B49" s="1589" t="s">
        <v>199</v>
      </c>
      <c r="C49" s="1589"/>
      <c r="D49" s="1589"/>
      <c r="E49" s="1589"/>
      <c r="F49" s="1589"/>
      <c r="G49" s="1589"/>
      <c r="H49" s="1589"/>
      <c r="I49" s="676"/>
    </row>
    <row r="50" spans="1:9" s="456" customFormat="1" ht="25.15" customHeight="1">
      <c r="A50" s="456">
        <f t="shared" si="0"/>
        <v>42</v>
      </c>
      <c r="B50" s="677"/>
      <c r="C50" s="677"/>
      <c r="D50" s="677"/>
      <c r="E50" s="677"/>
      <c r="F50" s="677"/>
      <c r="G50" s="677"/>
      <c r="H50" s="677"/>
      <c r="I50" s="461"/>
    </row>
    <row r="51" spans="1:9" s="456" customFormat="1" ht="25.15" customHeight="1">
      <c r="A51" s="456">
        <f t="shared" si="0"/>
        <v>43</v>
      </c>
      <c r="B51" s="499" t="s">
        <v>77</v>
      </c>
      <c r="C51" s="499" t="s">
        <v>78</v>
      </c>
      <c r="D51" s="499" t="s">
        <v>79</v>
      </c>
      <c r="E51" s="499" t="s">
        <v>80</v>
      </c>
      <c r="F51" s="499" t="s">
        <v>81</v>
      </c>
      <c r="G51" s="499" t="s">
        <v>82</v>
      </c>
      <c r="H51" s="499" t="s">
        <v>84</v>
      </c>
      <c r="I51" s="461"/>
    </row>
    <row r="52" spans="1:9" s="456" customFormat="1" ht="25.15" customHeight="1">
      <c r="A52" s="456">
        <f t="shared" si="0"/>
        <v>44</v>
      </c>
      <c r="B52" s="519"/>
      <c r="C52" s="500" t="s">
        <v>21</v>
      </c>
      <c r="D52" s="500" t="s">
        <v>343</v>
      </c>
      <c r="E52" s="499"/>
      <c r="F52" s="499"/>
      <c r="G52" s="499"/>
      <c r="H52" s="519"/>
      <c r="I52" s="461"/>
    </row>
    <row r="53" spans="1:9" s="456" customFormat="1" ht="25.15" customHeight="1">
      <c r="A53" s="456">
        <f t="shared" si="0"/>
        <v>45</v>
      </c>
      <c r="B53" s="543" t="s">
        <v>333</v>
      </c>
      <c r="C53" s="500"/>
      <c r="D53" s="500" t="s">
        <v>344</v>
      </c>
      <c r="E53" s="500" t="s">
        <v>26</v>
      </c>
      <c r="F53" s="500" t="s">
        <v>331</v>
      </c>
      <c r="G53" s="500" t="s">
        <v>326</v>
      </c>
      <c r="H53" s="519"/>
      <c r="I53" s="461"/>
    </row>
    <row r="54" spans="1:9" s="456" customFormat="1" ht="25.15" customHeight="1">
      <c r="A54" s="456">
        <f t="shared" si="0"/>
        <v>46</v>
      </c>
      <c r="B54" s="551"/>
      <c r="C54" s="500"/>
      <c r="D54" s="500" t="s">
        <v>332</v>
      </c>
      <c r="E54" s="500" t="s">
        <v>332</v>
      </c>
      <c r="F54" s="500" t="s">
        <v>332</v>
      </c>
      <c r="G54" s="500" t="s">
        <v>332</v>
      </c>
      <c r="H54" s="499" t="s">
        <v>345</v>
      </c>
      <c r="I54" s="461"/>
    </row>
    <row r="55" spans="1:9" ht="35.1" customHeight="1">
      <c r="A55" s="456">
        <f t="shared" si="0"/>
        <v>47</v>
      </c>
      <c r="I55" s="459"/>
    </row>
    <row r="56" spans="1:9" ht="35.1" customHeight="1">
      <c r="A56" s="456">
        <f t="shared" si="0"/>
        <v>48</v>
      </c>
      <c r="B56" s="528"/>
      <c r="C56" s="472"/>
      <c r="D56" s="473"/>
      <c r="E56" s="473"/>
      <c r="F56" s="473"/>
      <c r="G56" s="473"/>
      <c r="H56" s="527"/>
      <c r="I56" s="459"/>
    </row>
    <row r="57" spans="1:9" ht="35.1" customHeight="1">
      <c r="A57" s="456">
        <f t="shared" si="0"/>
        <v>49</v>
      </c>
      <c r="B57" s="528"/>
      <c r="C57" s="472"/>
      <c r="D57" s="473"/>
      <c r="E57" s="473"/>
      <c r="F57" s="473"/>
      <c r="G57" s="473"/>
      <c r="H57" s="527"/>
      <c r="I57" s="459"/>
    </row>
    <row r="58" spans="1:9" ht="35.1" customHeight="1">
      <c r="A58" s="456">
        <f t="shared" si="0"/>
        <v>50</v>
      </c>
      <c r="B58" s="528"/>
      <c r="C58" s="472"/>
      <c r="D58" s="473"/>
      <c r="E58" s="473"/>
      <c r="F58" s="473"/>
      <c r="G58" s="473"/>
      <c r="H58" s="527"/>
      <c r="I58" s="459"/>
    </row>
    <row r="59" spans="1:9" ht="35.1" customHeight="1">
      <c r="A59" s="456">
        <f t="shared" si="0"/>
        <v>51</v>
      </c>
      <c r="B59" s="528"/>
      <c r="C59" s="526"/>
      <c r="D59" s="526"/>
      <c r="E59" s="526"/>
      <c r="F59" s="526"/>
      <c r="G59" s="526"/>
      <c r="H59" s="527"/>
      <c r="I59" s="459"/>
    </row>
    <row r="60" spans="1:9" ht="35.1" customHeight="1">
      <c r="A60" s="456">
        <f t="shared" si="0"/>
        <v>52</v>
      </c>
      <c r="B60" s="528"/>
      <c r="C60" s="526"/>
      <c r="D60" s="526"/>
      <c r="E60" s="526"/>
      <c r="F60" s="526"/>
      <c r="G60" s="526"/>
      <c r="H60" s="527"/>
      <c r="I60" s="459"/>
    </row>
    <row r="61" spans="1:9" ht="35.1" customHeight="1">
      <c r="A61" s="456">
        <f t="shared" si="0"/>
        <v>53</v>
      </c>
      <c r="B61" s="539"/>
      <c r="C61" s="540"/>
      <c r="D61" s="540"/>
      <c r="E61" s="540"/>
      <c r="F61" s="540"/>
      <c r="G61" s="540"/>
      <c r="H61" s="527"/>
      <c r="I61" s="459"/>
    </row>
    <row r="62" spans="1:9" ht="35.1" customHeight="1">
      <c r="A62" s="456">
        <f t="shared" si="0"/>
        <v>54</v>
      </c>
      <c r="B62" s="541"/>
      <c r="C62" s="540"/>
      <c r="D62" s="540"/>
      <c r="E62" s="540"/>
      <c r="F62" s="540"/>
      <c r="G62" s="540"/>
      <c r="H62" s="527"/>
      <c r="I62" s="459"/>
    </row>
    <row r="63" spans="1:9" ht="35.1" customHeight="1">
      <c r="A63" s="456">
        <f t="shared" si="0"/>
        <v>55</v>
      </c>
      <c r="B63" s="541"/>
      <c r="C63" s="540"/>
      <c r="D63" s="540"/>
      <c r="E63" s="540"/>
      <c r="F63" s="540"/>
      <c r="G63" s="540"/>
      <c r="H63" s="527"/>
      <c r="I63" s="459"/>
    </row>
    <row r="64" spans="1:9" ht="35.1" customHeight="1">
      <c r="A64" s="456">
        <f t="shared" si="0"/>
        <v>56</v>
      </c>
      <c r="B64" s="561" t="s">
        <v>354</v>
      </c>
      <c r="C64" s="542">
        <f>SUBTOTAL(9,C56:C63)</f>
        <v>0</v>
      </c>
      <c r="D64" s="542">
        <f>SUM(D56:D63)</f>
        <v>0</v>
      </c>
      <c r="E64" s="542">
        <f>SUM(E56:E63)</f>
        <v>0</v>
      </c>
      <c r="F64" s="542">
        <f>SUM(F56:F63)</f>
        <v>0</v>
      </c>
      <c r="G64" s="542">
        <f>SUM(G56:G63)</f>
        <v>0</v>
      </c>
      <c r="H64" s="530"/>
      <c r="I64" s="459"/>
    </row>
    <row r="65" spans="1:9" ht="35.1" customHeight="1">
      <c r="A65" s="456">
        <f t="shared" si="0"/>
        <v>57</v>
      </c>
      <c r="B65" s="562" t="s">
        <v>347</v>
      </c>
      <c r="C65" s="531"/>
      <c r="D65" s="531"/>
      <c r="E65" s="531"/>
      <c r="F65" s="531"/>
      <c r="G65" s="531"/>
      <c r="H65" s="527"/>
      <c r="I65" s="459"/>
    </row>
    <row r="66" spans="1:9" ht="35.1" customHeight="1">
      <c r="A66" s="456">
        <f t="shared" si="0"/>
        <v>58</v>
      </c>
      <c r="B66" s="563" t="s">
        <v>348</v>
      </c>
      <c r="C66" s="534"/>
      <c r="D66" s="534"/>
      <c r="E66" s="534"/>
      <c r="F66" s="534"/>
      <c r="G66" s="534"/>
      <c r="H66" s="535"/>
      <c r="I66" s="459"/>
    </row>
    <row r="67" spans="1:9" ht="35.1" customHeight="1" thickBot="1">
      <c r="A67" s="456">
        <f t="shared" si="0"/>
        <v>59</v>
      </c>
      <c r="B67" s="557" t="s">
        <v>21</v>
      </c>
      <c r="C67" s="558">
        <f>+C64-C65-C66</f>
        <v>0</v>
      </c>
      <c r="D67" s="558">
        <f>+D64-D65-D66</f>
        <v>0</v>
      </c>
      <c r="E67" s="558">
        <f>+E64-E65-E66</f>
        <v>0</v>
      </c>
      <c r="F67" s="558">
        <f>+F64-F65-F66</f>
        <v>0</v>
      </c>
      <c r="G67" s="558">
        <f>+G64-G65-G66</f>
        <v>0</v>
      </c>
      <c r="H67" s="559"/>
      <c r="I67" s="459"/>
    </row>
    <row r="68" spans="1:9" ht="35.1" customHeight="1" thickTop="1">
      <c r="A68" s="456">
        <f t="shared" si="0"/>
        <v>60</v>
      </c>
      <c r="B68" s="538"/>
      <c r="C68" s="536"/>
      <c r="D68" s="543"/>
      <c r="E68" s="544"/>
      <c r="F68" s="545"/>
      <c r="G68" s="546"/>
      <c r="H68" s="537"/>
      <c r="I68" s="459"/>
    </row>
    <row r="69" spans="1:9" ht="35.1" customHeight="1">
      <c r="A69" s="456">
        <f t="shared" si="0"/>
        <v>61</v>
      </c>
      <c r="B69" s="543" t="s">
        <v>355</v>
      </c>
      <c r="C69" s="543"/>
      <c r="D69" s="545"/>
      <c r="E69" s="546"/>
      <c r="F69" s="536"/>
      <c r="G69" s="537"/>
      <c r="H69" s="536"/>
    </row>
    <row r="70" spans="1:9" ht="35.1" customHeight="1">
      <c r="A70" s="456">
        <f t="shared" si="0"/>
        <v>62</v>
      </c>
      <c r="B70" s="1591" t="s">
        <v>350</v>
      </c>
      <c r="C70" s="1592"/>
      <c r="D70" s="1592"/>
      <c r="E70" s="1592"/>
      <c r="F70" s="1592"/>
      <c r="G70" s="1592"/>
      <c r="H70" s="536"/>
    </row>
    <row r="71" spans="1:9" ht="35.1" customHeight="1">
      <c r="A71" s="456">
        <f t="shared" si="0"/>
        <v>63</v>
      </c>
      <c r="B71" s="551" t="s">
        <v>351</v>
      </c>
      <c r="C71" s="536"/>
      <c r="D71" s="543"/>
      <c r="E71" s="543"/>
      <c r="F71" s="545"/>
      <c r="G71" s="545"/>
      <c r="H71" s="536"/>
    </row>
    <row r="72" spans="1:9" ht="35.1" customHeight="1">
      <c r="A72" s="456">
        <f t="shared" si="0"/>
        <v>64</v>
      </c>
      <c r="B72" s="551" t="s">
        <v>352</v>
      </c>
      <c r="C72" s="536"/>
      <c r="D72" s="543"/>
      <c r="E72" s="543"/>
      <c r="F72" s="545"/>
      <c r="G72" s="545"/>
      <c r="H72" s="536"/>
    </row>
    <row r="73" spans="1:9" ht="35.1" customHeight="1">
      <c r="A73" s="456">
        <f t="shared" si="0"/>
        <v>65</v>
      </c>
      <c r="B73" s="551" t="s">
        <v>353</v>
      </c>
      <c r="C73" s="536"/>
      <c r="D73" s="543"/>
      <c r="E73" s="543"/>
      <c r="F73" s="545"/>
      <c r="G73" s="545"/>
      <c r="H73" s="536"/>
    </row>
    <row r="74" spans="1:9" ht="35.1" customHeight="1">
      <c r="A74" s="456">
        <f t="shared" si="0"/>
        <v>66</v>
      </c>
      <c r="B74" s="1591" t="s">
        <v>579</v>
      </c>
      <c r="C74" s="1591"/>
      <c r="D74" s="1591"/>
      <c r="E74" s="1591"/>
      <c r="F74" s="1591"/>
      <c r="G74" s="1591"/>
      <c r="H74" s="537"/>
    </row>
    <row r="75" spans="1:9" s="675" customFormat="1" ht="25.15" customHeight="1">
      <c r="A75" s="456">
        <f t="shared" ref="A75:A102" si="1">+A74+1</f>
        <v>67</v>
      </c>
      <c r="B75" s="1589" t="str">
        <f>+B47</f>
        <v>MidAmerican Central California Transco, LLC</v>
      </c>
      <c r="C75" s="1590"/>
      <c r="D75" s="1590"/>
      <c r="E75" s="1590"/>
      <c r="F75" s="1590"/>
      <c r="G75" s="1590"/>
      <c r="H75" s="1590"/>
      <c r="I75" s="676"/>
    </row>
    <row r="76" spans="1:9" s="675" customFormat="1" ht="25.15" customHeight="1">
      <c r="A76" s="456">
        <f t="shared" si="1"/>
        <v>68</v>
      </c>
      <c r="B76" s="1589" t="s">
        <v>358</v>
      </c>
      <c r="C76" s="1589"/>
      <c r="D76" s="1589"/>
      <c r="E76" s="1589"/>
      <c r="F76" s="1589"/>
      <c r="G76" s="1589"/>
      <c r="H76" s="1589"/>
      <c r="I76" s="676"/>
    </row>
    <row r="77" spans="1:9" s="675" customFormat="1" ht="25.15" customHeight="1">
      <c r="A77" s="456">
        <f t="shared" si="1"/>
        <v>69</v>
      </c>
      <c r="B77" s="1589" t="s">
        <v>199</v>
      </c>
      <c r="C77" s="1589"/>
      <c r="D77" s="1589"/>
      <c r="E77" s="1589"/>
      <c r="F77" s="1589"/>
      <c r="G77" s="1589"/>
      <c r="H77" s="1589"/>
      <c r="I77" s="676"/>
    </row>
    <row r="78" spans="1:9" s="456" customFormat="1" ht="25.15" customHeight="1">
      <c r="A78" s="456">
        <f t="shared" si="1"/>
        <v>70</v>
      </c>
      <c r="B78" s="551"/>
      <c r="C78" s="543"/>
      <c r="D78" s="543"/>
      <c r="E78" s="543"/>
      <c r="F78" s="543"/>
      <c r="G78" s="543"/>
      <c r="H78" s="537"/>
      <c r="I78" s="461"/>
    </row>
    <row r="79" spans="1:9" s="456" customFormat="1" ht="18">
      <c r="A79" s="456">
        <f t="shared" si="1"/>
        <v>71</v>
      </c>
      <c r="B79" s="499" t="s">
        <v>77</v>
      </c>
      <c r="C79" s="499" t="s">
        <v>78</v>
      </c>
      <c r="D79" s="499" t="s">
        <v>79</v>
      </c>
      <c r="E79" s="499" t="s">
        <v>80</v>
      </c>
      <c r="F79" s="499" t="s">
        <v>81</v>
      </c>
      <c r="G79" s="499" t="s">
        <v>82</v>
      </c>
      <c r="H79" s="499" t="s">
        <v>84</v>
      </c>
      <c r="I79" s="461"/>
    </row>
    <row r="80" spans="1:9" s="456" customFormat="1" ht="18">
      <c r="A80" s="456">
        <f t="shared" si="1"/>
        <v>72</v>
      </c>
      <c r="B80" s="499"/>
      <c r="C80" s="500" t="s">
        <v>21</v>
      </c>
      <c r="D80" s="500" t="s">
        <v>343</v>
      </c>
      <c r="E80" s="499"/>
      <c r="F80" s="499"/>
      <c r="G80" s="499"/>
      <c r="H80" s="499"/>
      <c r="I80" s="461"/>
    </row>
    <row r="81" spans="1:9" s="456" customFormat="1" ht="18">
      <c r="A81" s="456">
        <f t="shared" si="1"/>
        <v>73</v>
      </c>
      <c r="B81" s="543" t="s">
        <v>362</v>
      </c>
      <c r="C81" s="500"/>
      <c r="D81" s="500" t="s">
        <v>344</v>
      </c>
      <c r="E81" s="500" t="s">
        <v>26</v>
      </c>
      <c r="F81" s="500" t="s">
        <v>331</v>
      </c>
      <c r="G81" s="500" t="s">
        <v>326</v>
      </c>
      <c r="H81" s="499"/>
      <c r="I81" s="461"/>
    </row>
    <row r="82" spans="1:9" s="456" customFormat="1" ht="18">
      <c r="A82" s="456">
        <f t="shared" si="1"/>
        <v>74</v>
      </c>
      <c r="B82" s="543"/>
      <c r="C82" s="500"/>
      <c r="D82" s="500" t="s">
        <v>332</v>
      </c>
      <c r="E82" s="500" t="s">
        <v>332</v>
      </c>
      <c r="F82" s="500" t="s">
        <v>332</v>
      </c>
      <c r="G82" s="500" t="s">
        <v>332</v>
      </c>
      <c r="H82" s="519"/>
      <c r="I82" s="461"/>
    </row>
    <row r="83" spans="1:9" ht="35.1" customHeight="1">
      <c r="A83" s="456">
        <f t="shared" si="1"/>
        <v>75</v>
      </c>
      <c r="B83" s="1482" t="s">
        <v>1081</v>
      </c>
      <c r="C83" s="1503">
        <v>-552588</v>
      </c>
      <c r="D83" s="473"/>
      <c r="E83" s="1504">
        <v>-552588</v>
      </c>
      <c r="F83" s="473"/>
      <c r="G83" s="473"/>
      <c r="H83" s="527" t="s">
        <v>1082</v>
      </c>
      <c r="I83" s="459"/>
    </row>
    <row r="84" spans="1:9" ht="35.1" customHeight="1">
      <c r="A84" s="456">
        <f t="shared" si="1"/>
        <v>76</v>
      </c>
      <c r="B84" s="528" t="s">
        <v>1086</v>
      </c>
      <c r="C84" s="472">
        <v>-1612570</v>
      </c>
      <c r="D84" s="473"/>
      <c r="E84" s="473">
        <v>-1612570</v>
      </c>
      <c r="F84" s="473"/>
      <c r="G84" s="473"/>
      <c r="H84" s="527"/>
      <c r="I84" s="459"/>
    </row>
    <row r="85" spans="1:9" ht="35.1" customHeight="1">
      <c r="A85" s="456">
        <f t="shared" si="1"/>
        <v>77</v>
      </c>
      <c r="B85" s="528" t="s">
        <v>1100</v>
      </c>
      <c r="C85" s="472">
        <v>-276527</v>
      </c>
      <c r="D85" s="473"/>
      <c r="E85" s="473">
        <v>-276527</v>
      </c>
      <c r="F85" s="473"/>
      <c r="G85" s="473"/>
      <c r="H85" s="527"/>
      <c r="I85" s="459"/>
    </row>
    <row r="86" spans="1:9" ht="35.1" customHeight="1">
      <c r="A86" s="456">
        <f t="shared" si="1"/>
        <v>78</v>
      </c>
      <c r="B86" s="528"/>
      <c r="C86" s="472"/>
      <c r="D86" s="473"/>
      <c r="E86" s="473"/>
      <c r="F86" s="473"/>
      <c r="G86" s="473"/>
      <c r="H86" s="527"/>
      <c r="I86" s="459"/>
    </row>
    <row r="87" spans="1:9" ht="35.1" customHeight="1">
      <c r="A87" s="456">
        <f t="shared" si="1"/>
        <v>79</v>
      </c>
      <c r="B87" s="528"/>
      <c r="C87" s="526"/>
      <c r="D87" s="540"/>
      <c r="E87" s="526"/>
      <c r="F87" s="526"/>
      <c r="G87" s="526"/>
      <c r="H87" s="527"/>
      <c r="I87" s="459"/>
    </row>
    <row r="88" spans="1:9" ht="35.1" customHeight="1">
      <c r="A88" s="456">
        <f t="shared" si="1"/>
        <v>80</v>
      </c>
      <c r="B88" s="528"/>
      <c r="C88" s="526"/>
      <c r="D88" s="540"/>
      <c r="E88" s="526"/>
      <c r="F88" s="526"/>
      <c r="G88" s="526"/>
      <c r="H88" s="527"/>
      <c r="I88" s="459"/>
    </row>
    <row r="89" spans="1:9" ht="35.1" customHeight="1">
      <c r="A89" s="456">
        <f t="shared" si="1"/>
        <v>81</v>
      </c>
      <c r="B89" s="528"/>
      <c r="C89" s="526"/>
      <c r="D89" s="540"/>
      <c r="E89" s="526"/>
      <c r="F89" s="526"/>
      <c r="G89" s="526"/>
      <c r="H89" s="527"/>
      <c r="I89" s="459"/>
    </row>
    <row r="90" spans="1:9" ht="35.1" customHeight="1">
      <c r="A90" s="456">
        <f t="shared" si="1"/>
        <v>82</v>
      </c>
      <c r="B90" s="528"/>
      <c r="C90" s="526"/>
      <c r="D90" s="529"/>
      <c r="E90" s="526"/>
      <c r="F90" s="526"/>
      <c r="G90" s="526"/>
      <c r="H90" s="527"/>
      <c r="I90" s="459"/>
    </row>
    <row r="91" spans="1:9" ht="35.1" customHeight="1">
      <c r="A91" s="456">
        <f t="shared" si="1"/>
        <v>83</v>
      </c>
      <c r="B91" s="528"/>
      <c r="C91" s="526"/>
      <c r="D91" s="526"/>
      <c r="E91" s="526"/>
      <c r="F91" s="526"/>
      <c r="G91" s="526"/>
      <c r="H91" s="527"/>
      <c r="I91" s="459"/>
    </row>
    <row r="92" spans="1:9" ht="35.1" customHeight="1">
      <c r="A92" s="456">
        <f t="shared" si="1"/>
        <v>84</v>
      </c>
      <c r="B92" s="528"/>
      <c r="C92" s="526"/>
      <c r="D92" s="526"/>
      <c r="E92" s="526"/>
      <c r="F92" s="526"/>
      <c r="G92" s="526"/>
      <c r="H92" s="527"/>
      <c r="I92" s="459"/>
    </row>
    <row r="93" spans="1:9" ht="20.100000000000001" customHeight="1">
      <c r="A93" s="456">
        <f t="shared" si="1"/>
        <v>85</v>
      </c>
      <c r="B93" s="564" t="s">
        <v>356</v>
      </c>
      <c r="C93" s="554">
        <f>SUBTOTAL(9,C83:C92)</f>
        <v>-2441685</v>
      </c>
      <c r="D93" s="554">
        <f>SUM(D83:D92)</f>
        <v>0</v>
      </c>
      <c r="E93" s="554">
        <f>SUM(E83:E92)</f>
        <v>-2441685</v>
      </c>
      <c r="F93" s="554">
        <f>SUM(F83:F92)</f>
        <v>0</v>
      </c>
      <c r="G93" s="554">
        <f>SUM(G83:G92)</f>
        <v>0</v>
      </c>
      <c r="H93" s="527"/>
      <c r="I93" s="459"/>
    </row>
    <row r="94" spans="1:9" ht="20.100000000000001" customHeight="1">
      <c r="A94" s="456">
        <f t="shared" si="1"/>
        <v>86</v>
      </c>
      <c r="B94" s="565" t="s">
        <v>347</v>
      </c>
      <c r="C94" s="532"/>
      <c r="D94" s="532"/>
      <c r="E94" s="532"/>
      <c r="F94" s="532"/>
      <c r="G94" s="532"/>
      <c r="H94" s="527"/>
      <c r="I94" s="459"/>
    </row>
    <row r="95" spans="1:9" ht="20.100000000000001" customHeight="1">
      <c r="A95" s="456">
        <f t="shared" si="1"/>
        <v>87</v>
      </c>
      <c r="B95" s="566" t="s">
        <v>348</v>
      </c>
      <c r="C95" s="547"/>
      <c r="D95" s="547"/>
      <c r="E95" s="547"/>
      <c r="F95" s="547"/>
      <c r="G95" s="547"/>
      <c r="H95" s="535"/>
      <c r="I95" s="459"/>
    </row>
    <row r="96" spans="1:9" ht="20.100000000000001" customHeight="1" thickBot="1">
      <c r="A96" s="456">
        <f t="shared" si="1"/>
        <v>88</v>
      </c>
      <c r="B96" s="557" t="s">
        <v>21</v>
      </c>
      <c r="C96" s="567">
        <f>+C93-C94-C95</f>
        <v>-2441685</v>
      </c>
      <c r="D96" s="567">
        <f>+D93-D94-D95</f>
        <v>0</v>
      </c>
      <c r="E96" s="567">
        <f>+E93-E94-E95</f>
        <v>-2441685</v>
      </c>
      <c r="F96" s="567">
        <f>+F93-F94-F95</f>
        <v>0</v>
      </c>
      <c r="G96" s="567">
        <f>+G93-G94-G95</f>
        <v>0</v>
      </c>
      <c r="H96" s="559"/>
      <c r="I96" s="459"/>
    </row>
    <row r="97" spans="1:9" ht="35.1" customHeight="1" thickTop="1">
      <c r="A97" s="456">
        <f t="shared" si="1"/>
        <v>89</v>
      </c>
      <c r="B97" s="543" t="s">
        <v>357</v>
      </c>
      <c r="C97" s="543"/>
      <c r="D97" s="543"/>
      <c r="E97" s="545"/>
      <c r="F97" s="545"/>
      <c r="G97" s="536"/>
      <c r="H97" s="548"/>
      <c r="I97" s="459"/>
    </row>
    <row r="98" spans="1:9" ht="20.100000000000001" customHeight="1">
      <c r="A98" s="456">
        <f t="shared" si="1"/>
        <v>90</v>
      </c>
      <c r="B98" s="1591" t="s">
        <v>350</v>
      </c>
      <c r="C98" s="1592"/>
      <c r="D98" s="1592"/>
      <c r="E98" s="1592"/>
      <c r="F98" s="1592"/>
      <c r="G98" s="1592"/>
      <c r="H98" s="536"/>
    </row>
    <row r="99" spans="1:9" ht="20.100000000000001" customHeight="1">
      <c r="A99" s="456">
        <f t="shared" si="1"/>
        <v>91</v>
      </c>
      <c r="B99" s="551" t="s">
        <v>351</v>
      </c>
      <c r="C99" s="536"/>
      <c r="D99" s="543"/>
      <c r="E99" s="543"/>
      <c r="F99" s="545"/>
      <c r="G99" s="545"/>
      <c r="H99" s="536"/>
    </row>
    <row r="100" spans="1:9" ht="20.100000000000001" customHeight="1">
      <c r="A100" s="456">
        <f t="shared" si="1"/>
        <v>92</v>
      </c>
      <c r="B100" s="551" t="s">
        <v>352</v>
      </c>
      <c r="C100" s="536"/>
      <c r="D100" s="543"/>
      <c r="E100" s="543"/>
      <c r="F100" s="545"/>
      <c r="G100" s="545"/>
      <c r="H100" s="536"/>
    </row>
    <row r="101" spans="1:9" ht="20.100000000000001" customHeight="1">
      <c r="A101" s="456">
        <f t="shared" si="1"/>
        <v>93</v>
      </c>
      <c r="B101" s="551" t="s">
        <v>353</v>
      </c>
      <c r="C101" s="536"/>
      <c r="D101" s="543"/>
      <c r="E101" s="543"/>
      <c r="F101" s="545"/>
      <c r="G101" s="545"/>
      <c r="H101" s="536"/>
    </row>
    <row r="102" spans="1:9" ht="35.1" customHeight="1">
      <c r="A102" s="456">
        <f t="shared" si="1"/>
        <v>94</v>
      </c>
      <c r="B102" s="1591" t="s">
        <v>579</v>
      </c>
      <c r="C102" s="1591"/>
      <c r="D102" s="1591"/>
      <c r="E102" s="1591"/>
      <c r="F102" s="1591"/>
      <c r="G102" s="1591"/>
      <c r="H102" s="536"/>
    </row>
    <row r="103" spans="1:9" ht="18">
      <c r="B103" s="538"/>
      <c r="C103" s="536"/>
      <c r="D103" s="536"/>
      <c r="E103" s="536"/>
      <c r="F103" s="536"/>
      <c r="G103" s="536"/>
      <c r="H103" s="536"/>
      <c r="I103" s="459"/>
    </row>
    <row r="104" spans="1:9" ht="15.75" customHeight="1">
      <c r="B104" s="550"/>
      <c r="C104" s="550"/>
      <c r="D104" s="550"/>
      <c r="E104" s="550"/>
      <c r="F104" s="550"/>
      <c r="G104" s="550"/>
      <c r="H104" s="550"/>
      <c r="I104" s="459"/>
    </row>
    <row r="105" spans="1:9" ht="18">
      <c r="B105" s="1593"/>
      <c r="C105" s="1593"/>
      <c r="D105" s="1593"/>
      <c r="E105" s="1593"/>
      <c r="F105" s="1593"/>
      <c r="G105" s="1593"/>
      <c r="H105" s="1593"/>
      <c r="I105" s="460"/>
    </row>
    <row r="106" spans="1:9" ht="18">
      <c r="B106" s="543"/>
      <c r="C106" s="543"/>
      <c r="D106" s="543"/>
      <c r="E106" s="543"/>
      <c r="F106" s="543"/>
      <c r="G106" s="543"/>
      <c r="H106" s="543"/>
      <c r="I106" s="459"/>
    </row>
    <row r="107" spans="1:9" ht="18">
      <c r="B107" s="543"/>
      <c r="C107" s="543"/>
      <c r="D107" s="543"/>
      <c r="E107" s="543"/>
      <c r="F107" s="543"/>
      <c r="G107" s="543"/>
      <c r="H107" s="543"/>
      <c r="I107" s="459"/>
    </row>
    <row r="108" spans="1:9" ht="15.75" customHeight="1">
      <c r="B108" s="543"/>
      <c r="C108" s="543"/>
      <c r="D108" s="543"/>
      <c r="E108" s="543"/>
      <c r="F108" s="543"/>
      <c r="G108" s="543"/>
      <c r="H108" s="543"/>
      <c r="I108" s="459"/>
    </row>
    <row r="109" spans="1:9" ht="18">
      <c r="B109" s="543"/>
      <c r="C109" s="543"/>
      <c r="D109" s="568"/>
      <c r="E109" s="568"/>
      <c r="F109" s="568"/>
      <c r="G109" s="568"/>
      <c r="H109" s="568"/>
      <c r="I109" s="462"/>
    </row>
    <row r="110" spans="1:9" ht="18">
      <c r="B110" s="543"/>
      <c r="C110" s="543"/>
      <c r="D110" s="568"/>
      <c r="E110" s="568"/>
      <c r="F110" s="568"/>
      <c r="G110" s="568"/>
      <c r="H110" s="568"/>
      <c r="I110" s="462"/>
    </row>
    <row r="111" spans="1:9" ht="18">
      <c r="B111" s="551"/>
      <c r="C111" s="543"/>
      <c r="D111" s="545"/>
      <c r="E111" s="545"/>
      <c r="F111" s="543"/>
      <c r="G111" s="543"/>
      <c r="H111" s="543"/>
      <c r="I111" s="459"/>
    </row>
    <row r="112" spans="1:9" ht="18">
      <c r="B112" s="551"/>
      <c r="C112" s="543"/>
      <c r="D112" s="552"/>
      <c r="E112" s="552"/>
      <c r="F112" s="543"/>
      <c r="G112" s="543"/>
      <c r="H112" s="543"/>
      <c r="I112" s="459"/>
    </row>
    <row r="113" spans="2:9" ht="18">
      <c r="B113" s="551"/>
      <c r="C113" s="543"/>
      <c r="D113" s="552"/>
      <c r="E113" s="552"/>
      <c r="F113" s="543"/>
      <c r="G113" s="543"/>
      <c r="H113" s="543"/>
      <c r="I113" s="459"/>
    </row>
    <row r="114" spans="2:9" ht="18">
      <c r="B114" s="551"/>
      <c r="C114" s="543"/>
      <c r="D114" s="552"/>
      <c r="E114" s="552"/>
      <c r="F114" s="543"/>
      <c r="G114" s="543"/>
      <c r="H114" s="543"/>
      <c r="I114" s="459"/>
    </row>
    <row r="115" spans="2:9" ht="18">
      <c r="B115" s="551"/>
      <c r="C115" s="543"/>
      <c r="D115" s="552"/>
      <c r="E115" s="552"/>
      <c r="F115" s="543"/>
      <c r="G115" s="543"/>
      <c r="H115" s="543"/>
      <c r="I115" s="459"/>
    </row>
    <row r="116" spans="2:9" ht="18">
      <c r="B116" s="551"/>
      <c r="C116" s="543"/>
      <c r="D116" s="552"/>
      <c r="E116" s="552"/>
      <c r="F116" s="543"/>
      <c r="G116" s="543"/>
      <c r="H116" s="543"/>
      <c r="I116" s="459"/>
    </row>
    <row r="117" spans="2:9" ht="18">
      <c r="B117" s="551"/>
      <c r="C117" s="543"/>
      <c r="D117" s="552"/>
      <c r="E117" s="552"/>
      <c r="F117" s="543"/>
      <c r="G117" s="543"/>
      <c r="H117" s="543"/>
      <c r="I117" s="459"/>
    </row>
    <row r="118" spans="2:9" ht="18">
      <c r="B118" s="551"/>
      <c r="C118" s="543"/>
      <c r="D118" s="552"/>
      <c r="E118" s="552"/>
      <c r="F118" s="543"/>
      <c r="G118" s="543"/>
      <c r="H118" s="543"/>
      <c r="I118" s="459"/>
    </row>
    <row r="119" spans="2:9" ht="18">
      <c r="B119" s="551"/>
      <c r="C119" s="543"/>
      <c r="D119" s="552"/>
      <c r="E119" s="552"/>
      <c r="F119" s="543"/>
      <c r="G119" s="543"/>
      <c r="H119" s="543"/>
      <c r="I119" s="459"/>
    </row>
    <row r="120" spans="2:9" ht="18">
      <c r="B120" s="551"/>
      <c r="C120" s="543"/>
      <c r="D120" s="552"/>
      <c r="E120" s="552"/>
      <c r="F120" s="543"/>
      <c r="G120" s="543"/>
      <c r="H120" s="543"/>
      <c r="I120" s="459"/>
    </row>
    <row r="121" spans="2:9" ht="18">
      <c r="B121" s="551"/>
      <c r="C121" s="543"/>
      <c r="D121" s="552"/>
      <c r="E121" s="552"/>
      <c r="F121" s="543"/>
      <c r="G121" s="543"/>
      <c r="H121" s="543"/>
      <c r="I121" s="459"/>
    </row>
    <row r="122" spans="2:9" ht="18">
      <c r="B122" s="543"/>
      <c r="C122" s="543"/>
      <c r="D122" s="552"/>
      <c r="E122" s="552"/>
      <c r="F122" s="543"/>
      <c r="G122" s="543"/>
      <c r="H122" s="543"/>
      <c r="I122" s="459"/>
    </row>
    <row r="123" spans="2:9" ht="18">
      <c r="B123" s="551"/>
      <c r="C123" s="543"/>
      <c r="D123" s="552"/>
      <c r="E123" s="552"/>
      <c r="F123" s="543"/>
      <c r="G123" s="543"/>
      <c r="H123" s="543"/>
      <c r="I123" s="459"/>
    </row>
    <row r="124" spans="2:9" ht="18">
      <c r="B124" s="543"/>
      <c r="C124" s="543"/>
      <c r="D124" s="552"/>
      <c r="E124" s="552"/>
      <c r="F124" s="543"/>
      <c r="G124" s="543"/>
      <c r="H124" s="543"/>
      <c r="I124" s="459"/>
    </row>
    <row r="125" spans="2:9" ht="18">
      <c r="B125" s="551"/>
      <c r="C125" s="543"/>
      <c r="D125" s="543"/>
      <c r="E125" s="543"/>
      <c r="F125" s="543"/>
      <c r="G125" s="543"/>
      <c r="H125" s="543"/>
      <c r="I125" s="459"/>
    </row>
    <row r="126" spans="2:9" ht="18">
      <c r="B126" s="551"/>
      <c r="C126" s="543"/>
      <c r="D126" s="543"/>
      <c r="E126" s="543"/>
      <c r="F126" s="543"/>
      <c r="G126" s="543"/>
      <c r="H126" s="543"/>
    </row>
    <row r="127" spans="2:9" ht="18">
      <c r="B127" s="551"/>
      <c r="C127" s="543"/>
      <c r="D127" s="543"/>
      <c r="E127" s="543"/>
      <c r="F127" s="543"/>
      <c r="G127" s="543"/>
      <c r="H127" s="543"/>
    </row>
    <row r="128" spans="2:9" ht="18">
      <c r="B128" s="551"/>
      <c r="C128" s="543"/>
      <c r="D128" s="543"/>
      <c r="E128" s="543"/>
      <c r="F128" s="543"/>
      <c r="G128" s="543"/>
      <c r="H128" s="543"/>
    </row>
    <row r="129" spans="2:8" ht="18">
      <c r="B129" s="551"/>
      <c r="C129" s="543"/>
      <c r="D129" s="543"/>
      <c r="E129" s="543"/>
      <c r="F129" s="543"/>
      <c r="G129" s="543"/>
      <c r="H129" s="543"/>
    </row>
    <row r="130" spans="2:8" ht="18">
      <c r="B130" s="551"/>
      <c r="C130" s="543"/>
      <c r="D130" s="543"/>
      <c r="E130" s="543"/>
      <c r="F130" s="543"/>
      <c r="G130" s="543"/>
      <c r="H130" s="543"/>
    </row>
    <row r="131" spans="2:8" ht="18">
      <c r="B131" s="551"/>
      <c r="C131" s="543"/>
      <c r="D131" s="543"/>
      <c r="E131" s="543"/>
      <c r="F131" s="543"/>
      <c r="G131" s="543"/>
      <c r="H131" s="543"/>
    </row>
    <row r="132" spans="2:8" ht="18">
      <c r="B132" s="551"/>
      <c r="C132" s="543"/>
      <c r="D132" s="543"/>
      <c r="E132" s="543"/>
      <c r="F132" s="543"/>
      <c r="G132" s="543"/>
      <c r="H132" s="543"/>
    </row>
    <row r="133" spans="2:8" ht="18">
      <c r="B133" s="551"/>
      <c r="C133" s="543"/>
      <c r="D133" s="543"/>
      <c r="E133" s="543"/>
      <c r="F133" s="543"/>
      <c r="G133" s="543"/>
      <c r="H133" s="543"/>
    </row>
    <row r="134" spans="2:8" ht="18">
      <c r="B134" s="551"/>
      <c r="C134" s="543"/>
      <c r="D134" s="543"/>
      <c r="E134" s="543"/>
      <c r="F134" s="543"/>
      <c r="G134" s="543"/>
      <c r="H134" s="543"/>
    </row>
    <row r="135" spans="2:8" ht="18">
      <c r="B135" s="551"/>
      <c r="C135" s="543"/>
      <c r="D135" s="543"/>
      <c r="E135" s="543"/>
      <c r="F135" s="543"/>
      <c r="G135" s="543"/>
      <c r="H135" s="543"/>
    </row>
    <row r="136" spans="2:8" ht="18">
      <c r="B136" s="551"/>
      <c r="C136" s="543"/>
      <c r="D136" s="543"/>
      <c r="E136" s="543"/>
      <c r="F136" s="543"/>
      <c r="G136" s="543"/>
      <c r="H136" s="543"/>
    </row>
    <row r="137" spans="2:8" ht="18">
      <c r="B137" s="551"/>
      <c r="C137" s="543"/>
      <c r="D137" s="543"/>
      <c r="E137" s="543"/>
      <c r="F137" s="543"/>
      <c r="G137" s="543"/>
      <c r="H137" s="543"/>
    </row>
    <row r="138" spans="2:8" ht="18">
      <c r="B138" s="551"/>
      <c r="C138" s="543"/>
      <c r="D138" s="543"/>
      <c r="E138" s="543"/>
      <c r="F138" s="543"/>
      <c r="G138" s="543"/>
      <c r="H138" s="543"/>
    </row>
    <row r="139" spans="2:8" ht="18">
      <c r="B139" s="551"/>
      <c r="C139" s="543"/>
      <c r="D139" s="543"/>
      <c r="E139" s="543"/>
      <c r="F139" s="543"/>
      <c r="G139" s="543"/>
      <c r="H139" s="543"/>
    </row>
    <row r="140" spans="2:8" ht="18">
      <c r="B140" s="551"/>
      <c r="C140" s="543"/>
      <c r="D140" s="543"/>
      <c r="E140" s="543"/>
      <c r="F140" s="543"/>
      <c r="G140" s="543"/>
      <c r="H140" s="543"/>
    </row>
    <row r="141" spans="2:8" ht="18">
      <c r="B141" s="551"/>
      <c r="C141" s="543"/>
      <c r="D141" s="543"/>
      <c r="E141" s="543"/>
      <c r="F141" s="543"/>
      <c r="G141" s="543"/>
      <c r="H141" s="543"/>
    </row>
    <row r="142" spans="2:8" ht="18">
      <c r="B142" s="551"/>
      <c r="C142" s="543"/>
      <c r="D142" s="543"/>
      <c r="E142" s="543"/>
      <c r="F142" s="543"/>
      <c r="G142" s="543"/>
      <c r="H142" s="543"/>
    </row>
    <row r="143" spans="2:8" ht="18">
      <c r="B143" s="551"/>
      <c r="C143" s="543"/>
      <c r="D143" s="543"/>
      <c r="E143" s="543"/>
      <c r="F143" s="543"/>
      <c r="G143" s="543"/>
      <c r="H143" s="543"/>
    </row>
    <row r="144" spans="2:8" ht="18">
      <c r="B144" s="551"/>
      <c r="C144" s="543"/>
      <c r="D144" s="543"/>
      <c r="E144" s="543"/>
      <c r="F144" s="543"/>
      <c r="G144" s="543"/>
      <c r="H144" s="543"/>
    </row>
    <row r="145" spans="2:8" ht="18">
      <c r="B145" s="551"/>
      <c r="C145" s="543"/>
      <c r="D145" s="543"/>
      <c r="E145" s="543"/>
      <c r="F145" s="543"/>
      <c r="G145" s="543"/>
      <c r="H145" s="543"/>
    </row>
    <row r="146" spans="2:8" ht="18">
      <c r="B146" s="551"/>
      <c r="C146" s="543"/>
      <c r="D146" s="543"/>
      <c r="E146" s="543"/>
      <c r="F146" s="543"/>
      <c r="G146" s="543"/>
      <c r="H146" s="543"/>
    </row>
    <row r="147" spans="2:8" ht="18">
      <c r="B147" s="551"/>
      <c r="C147" s="543"/>
      <c r="D147" s="543"/>
      <c r="E147" s="543"/>
      <c r="F147" s="543"/>
      <c r="G147" s="543"/>
      <c r="H147" s="543"/>
    </row>
    <row r="148" spans="2:8" ht="18">
      <c r="B148" s="551"/>
      <c r="C148" s="543"/>
      <c r="D148" s="543"/>
      <c r="E148" s="543"/>
      <c r="F148" s="543"/>
      <c r="G148" s="543"/>
      <c r="H148" s="543"/>
    </row>
    <row r="149" spans="2:8" ht="18">
      <c r="B149" s="551"/>
      <c r="C149" s="543"/>
      <c r="D149" s="543"/>
      <c r="E149" s="543"/>
      <c r="F149" s="543"/>
      <c r="G149" s="543"/>
      <c r="H149" s="543"/>
    </row>
    <row r="150" spans="2:8" ht="18">
      <c r="B150" s="551"/>
      <c r="C150" s="543"/>
      <c r="D150" s="543"/>
      <c r="E150" s="543"/>
      <c r="F150" s="543"/>
      <c r="G150" s="543"/>
      <c r="H150" s="543"/>
    </row>
    <row r="151" spans="2:8" ht="18">
      <c r="B151" s="551"/>
      <c r="C151" s="543"/>
      <c r="D151" s="543"/>
      <c r="E151" s="543"/>
      <c r="F151" s="543"/>
      <c r="G151" s="543"/>
      <c r="H151" s="543"/>
    </row>
    <row r="152" spans="2:8" ht="18">
      <c r="B152" s="551"/>
      <c r="C152" s="543"/>
      <c r="D152" s="543"/>
      <c r="E152" s="543"/>
      <c r="F152" s="543"/>
      <c r="G152" s="543"/>
      <c r="H152" s="543"/>
    </row>
    <row r="153" spans="2:8" ht="18">
      <c r="B153" s="551"/>
      <c r="C153" s="543"/>
      <c r="D153" s="543"/>
      <c r="E153" s="543"/>
      <c r="F153" s="543"/>
      <c r="G153" s="543"/>
      <c r="H153" s="543"/>
    </row>
    <row r="154" spans="2:8" ht="18">
      <c r="B154" s="551"/>
      <c r="C154" s="543"/>
      <c r="D154" s="543"/>
      <c r="E154" s="543"/>
      <c r="F154" s="543"/>
      <c r="G154" s="543"/>
      <c r="H154" s="543"/>
    </row>
    <row r="155" spans="2:8" ht="18">
      <c r="B155" s="551"/>
      <c r="C155" s="543"/>
      <c r="D155" s="543"/>
      <c r="E155" s="543"/>
      <c r="F155" s="543"/>
      <c r="G155" s="543"/>
      <c r="H155" s="543"/>
    </row>
    <row r="156" spans="2:8" ht="18">
      <c r="B156" s="551"/>
      <c r="C156" s="543"/>
      <c r="D156" s="543"/>
      <c r="E156" s="543"/>
      <c r="F156" s="543"/>
      <c r="G156" s="543"/>
      <c r="H156" s="543"/>
    </row>
    <row r="157" spans="2:8" ht="18">
      <c r="B157" s="551"/>
      <c r="C157" s="543"/>
      <c r="D157" s="543"/>
      <c r="E157" s="543"/>
      <c r="F157" s="543"/>
      <c r="G157" s="543"/>
      <c r="H157" s="543"/>
    </row>
    <row r="158" spans="2:8" ht="18">
      <c r="B158" s="551"/>
      <c r="C158" s="543"/>
      <c r="D158" s="543"/>
      <c r="E158" s="543"/>
      <c r="F158" s="543"/>
      <c r="G158" s="543"/>
      <c r="H158" s="543"/>
    </row>
    <row r="159" spans="2:8" ht="18">
      <c r="B159" s="551"/>
      <c r="C159" s="543"/>
      <c r="D159" s="543"/>
      <c r="E159" s="543"/>
      <c r="F159" s="543"/>
      <c r="G159" s="543"/>
      <c r="H159" s="543"/>
    </row>
    <row r="160" spans="2:8" ht="18">
      <c r="B160" s="551"/>
      <c r="C160" s="543"/>
      <c r="D160" s="543"/>
      <c r="E160" s="543"/>
      <c r="F160" s="543"/>
      <c r="G160" s="543"/>
      <c r="H160" s="543"/>
    </row>
    <row r="161" spans="2:8" ht="18">
      <c r="B161" s="551"/>
      <c r="C161" s="543"/>
      <c r="D161" s="543"/>
      <c r="E161" s="543"/>
      <c r="F161" s="543"/>
      <c r="G161" s="543"/>
      <c r="H161" s="543"/>
    </row>
    <row r="162" spans="2:8" ht="18">
      <c r="B162" s="551"/>
      <c r="C162" s="543"/>
      <c r="D162" s="543"/>
      <c r="E162" s="543"/>
      <c r="F162" s="543"/>
      <c r="G162" s="543"/>
      <c r="H162" s="543"/>
    </row>
    <row r="163" spans="2:8" ht="18">
      <c r="B163" s="551"/>
      <c r="C163" s="543"/>
      <c r="D163" s="543"/>
      <c r="E163" s="543"/>
      <c r="F163" s="543"/>
      <c r="G163" s="543"/>
      <c r="H163" s="543"/>
    </row>
    <row r="164" spans="2:8" ht="18">
      <c r="B164" s="551"/>
      <c r="C164" s="543"/>
      <c r="D164" s="543"/>
      <c r="E164" s="543"/>
      <c r="F164" s="543"/>
      <c r="G164" s="543"/>
      <c r="H164" s="543"/>
    </row>
    <row r="165" spans="2:8" ht="18">
      <c r="B165" s="551"/>
      <c r="C165" s="543"/>
      <c r="D165" s="543"/>
      <c r="E165" s="543"/>
      <c r="F165" s="543"/>
      <c r="G165" s="543"/>
      <c r="H165" s="543"/>
    </row>
    <row r="166" spans="2:8" ht="18">
      <c r="B166" s="551"/>
      <c r="C166" s="543"/>
      <c r="D166" s="543"/>
      <c r="E166" s="543"/>
      <c r="F166" s="543"/>
      <c r="G166" s="543"/>
      <c r="H166" s="543"/>
    </row>
    <row r="167" spans="2:8" ht="18">
      <c r="B167" s="551"/>
      <c r="C167" s="543"/>
      <c r="D167" s="543"/>
      <c r="E167" s="543"/>
      <c r="F167" s="543"/>
      <c r="G167" s="543"/>
      <c r="H167" s="543"/>
    </row>
    <row r="168" spans="2:8" ht="18">
      <c r="B168" s="551"/>
      <c r="C168" s="543"/>
      <c r="D168" s="543"/>
      <c r="E168" s="543"/>
      <c r="F168" s="543"/>
      <c r="G168" s="543"/>
      <c r="H168" s="543"/>
    </row>
    <row r="169" spans="2:8" ht="18">
      <c r="B169" s="551"/>
      <c r="C169" s="543"/>
      <c r="D169" s="543"/>
      <c r="E169" s="543"/>
      <c r="F169" s="543"/>
      <c r="G169" s="543"/>
      <c r="H169" s="543"/>
    </row>
    <row r="170" spans="2:8" ht="18">
      <c r="B170" s="551"/>
      <c r="C170" s="543"/>
      <c r="D170" s="543"/>
      <c r="E170" s="543"/>
      <c r="F170" s="543"/>
      <c r="G170" s="543"/>
      <c r="H170" s="543"/>
    </row>
    <row r="171" spans="2:8" ht="18">
      <c r="B171" s="551"/>
      <c r="C171" s="543"/>
      <c r="D171" s="543"/>
      <c r="E171" s="543"/>
      <c r="F171" s="543"/>
      <c r="G171" s="543"/>
      <c r="H171" s="543"/>
    </row>
    <row r="172" spans="2:8" ht="18">
      <c r="B172" s="551"/>
      <c r="C172" s="543"/>
      <c r="D172" s="543"/>
      <c r="E172" s="543"/>
      <c r="F172" s="543"/>
      <c r="G172" s="543"/>
      <c r="H172" s="543"/>
    </row>
    <row r="173" spans="2:8" ht="18">
      <c r="B173" s="551"/>
      <c r="C173" s="543"/>
      <c r="D173" s="543"/>
      <c r="E173" s="543"/>
      <c r="F173" s="543"/>
      <c r="G173" s="543"/>
      <c r="H173" s="543"/>
    </row>
    <row r="174" spans="2:8" ht="18">
      <c r="B174" s="551"/>
      <c r="C174" s="543"/>
      <c r="D174" s="543"/>
      <c r="E174" s="543"/>
      <c r="F174" s="543"/>
      <c r="G174" s="543"/>
      <c r="H174" s="543"/>
    </row>
    <row r="175" spans="2:8" ht="18">
      <c r="B175" s="551"/>
      <c r="C175" s="543"/>
      <c r="D175" s="543"/>
      <c r="E175" s="543"/>
      <c r="F175" s="543"/>
      <c r="G175" s="543"/>
      <c r="H175" s="543"/>
    </row>
    <row r="176" spans="2:8" ht="18">
      <c r="B176" s="551"/>
      <c r="C176" s="543"/>
      <c r="D176" s="543"/>
      <c r="E176" s="543"/>
      <c r="F176" s="543"/>
      <c r="G176" s="543"/>
      <c r="H176" s="543"/>
    </row>
    <row r="177" spans="2:8" ht="18">
      <c r="B177" s="551"/>
      <c r="C177" s="543"/>
      <c r="D177" s="543"/>
      <c r="E177" s="543"/>
      <c r="F177" s="543"/>
      <c r="G177" s="543"/>
      <c r="H177" s="543"/>
    </row>
    <row r="178" spans="2:8" ht="18">
      <c r="B178" s="551"/>
      <c r="C178" s="543"/>
      <c r="D178" s="543"/>
      <c r="E178" s="543"/>
      <c r="F178" s="543"/>
      <c r="G178" s="543"/>
      <c r="H178" s="543"/>
    </row>
    <row r="179" spans="2:8" ht="18">
      <c r="B179" s="551"/>
      <c r="C179" s="543"/>
      <c r="D179" s="543"/>
      <c r="E179" s="543"/>
      <c r="F179" s="543"/>
      <c r="G179" s="543"/>
      <c r="H179" s="543"/>
    </row>
    <row r="180" spans="2:8" ht="18">
      <c r="B180" s="551"/>
      <c r="C180" s="543"/>
      <c r="D180" s="543"/>
      <c r="E180" s="543"/>
      <c r="F180" s="543"/>
      <c r="G180" s="543"/>
      <c r="H180" s="543"/>
    </row>
    <row r="181" spans="2:8" ht="18">
      <c r="B181" s="551"/>
      <c r="C181" s="543"/>
      <c r="D181" s="543"/>
      <c r="E181" s="543"/>
      <c r="F181" s="543"/>
      <c r="G181" s="543"/>
      <c r="H181" s="543"/>
    </row>
    <row r="182" spans="2:8" ht="18">
      <c r="B182" s="551"/>
      <c r="C182" s="543"/>
      <c r="D182" s="543"/>
      <c r="E182" s="543"/>
      <c r="F182" s="543"/>
      <c r="G182" s="543"/>
      <c r="H182" s="543"/>
    </row>
    <row r="183" spans="2:8" ht="18">
      <c r="B183" s="551"/>
      <c r="C183" s="543"/>
      <c r="D183" s="543"/>
      <c r="E183" s="543"/>
      <c r="F183" s="543"/>
      <c r="G183" s="543"/>
      <c r="H183" s="543"/>
    </row>
    <row r="184" spans="2:8" ht="18">
      <c r="B184" s="551"/>
      <c r="C184" s="543"/>
      <c r="D184" s="543"/>
      <c r="E184" s="543"/>
      <c r="F184" s="543"/>
      <c r="G184" s="543"/>
      <c r="H184" s="543"/>
    </row>
    <row r="185" spans="2:8" ht="18">
      <c r="B185" s="551"/>
      <c r="C185" s="543"/>
      <c r="D185" s="543"/>
      <c r="E185" s="543"/>
      <c r="F185" s="543"/>
      <c r="G185" s="543"/>
      <c r="H185" s="543"/>
    </row>
    <row r="186" spans="2:8" ht="18">
      <c r="B186" s="551"/>
      <c r="C186" s="543"/>
      <c r="D186" s="543"/>
      <c r="E186" s="543"/>
      <c r="F186" s="543"/>
      <c r="G186" s="543"/>
      <c r="H186" s="543"/>
    </row>
    <row r="187" spans="2:8" ht="18">
      <c r="B187" s="551"/>
      <c r="C187" s="543"/>
      <c r="D187" s="543"/>
      <c r="E187" s="543"/>
      <c r="F187" s="543"/>
      <c r="G187" s="543"/>
      <c r="H187" s="543"/>
    </row>
    <row r="188" spans="2:8" ht="18">
      <c r="B188" s="551"/>
      <c r="C188" s="543"/>
      <c r="D188" s="543"/>
      <c r="E188" s="543"/>
      <c r="F188" s="543"/>
      <c r="G188" s="543"/>
      <c r="H188" s="543"/>
    </row>
    <row r="189" spans="2:8" ht="18">
      <c r="B189" s="551"/>
      <c r="C189" s="543"/>
      <c r="D189" s="543"/>
      <c r="E189" s="543"/>
      <c r="F189" s="543"/>
      <c r="G189" s="543"/>
      <c r="H189" s="543"/>
    </row>
    <row r="190" spans="2:8" ht="18">
      <c r="B190" s="551"/>
      <c r="C190" s="543"/>
      <c r="D190" s="543"/>
      <c r="E190" s="543"/>
      <c r="F190" s="543"/>
      <c r="G190" s="543"/>
      <c r="H190" s="543"/>
    </row>
    <row r="191" spans="2:8" ht="18">
      <c r="B191" s="551"/>
      <c r="C191" s="543"/>
      <c r="D191" s="543"/>
      <c r="E191" s="543"/>
      <c r="F191" s="543"/>
      <c r="G191" s="543"/>
      <c r="H191" s="543"/>
    </row>
    <row r="192" spans="2:8" ht="18">
      <c r="B192" s="551"/>
      <c r="C192" s="543"/>
      <c r="D192" s="543"/>
      <c r="E192" s="543"/>
      <c r="F192" s="543"/>
      <c r="G192" s="543"/>
      <c r="H192" s="543"/>
    </row>
    <row r="193" spans="2:8" ht="18">
      <c r="B193" s="551"/>
      <c r="C193" s="543"/>
      <c r="D193" s="543"/>
      <c r="E193" s="543"/>
      <c r="F193" s="543"/>
      <c r="G193" s="543"/>
      <c r="H193" s="543"/>
    </row>
    <row r="194" spans="2:8" ht="18">
      <c r="B194" s="551"/>
      <c r="C194" s="543"/>
      <c r="D194" s="543"/>
      <c r="E194" s="543"/>
      <c r="F194" s="543"/>
      <c r="G194" s="543"/>
      <c r="H194" s="543"/>
    </row>
    <row r="195" spans="2:8" ht="18">
      <c r="B195" s="551"/>
      <c r="C195" s="543"/>
      <c r="D195" s="543"/>
      <c r="E195" s="543"/>
      <c r="F195" s="543"/>
      <c r="G195" s="543"/>
      <c r="H195" s="543"/>
    </row>
    <row r="196" spans="2:8" ht="18">
      <c r="B196" s="551"/>
      <c r="C196" s="543"/>
      <c r="D196" s="543"/>
      <c r="E196" s="543"/>
      <c r="F196" s="543"/>
      <c r="G196" s="543"/>
      <c r="H196" s="543"/>
    </row>
    <row r="197" spans="2:8" ht="18">
      <c r="B197" s="551"/>
      <c r="C197" s="543"/>
      <c r="D197" s="543"/>
      <c r="E197" s="543"/>
      <c r="F197" s="543"/>
      <c r="G197" s="543"/>
      <c r="H197" s="543"/>
    </row>
    <row r="198" spans="2:8" ht="18">
      <c r="B198" s="551"/>
      <c r="C198" s="543"/>
      <c r="D198" s="543"/>
      <c r="E198" s="543"/>
      <c r="F198" s="543"/>
      <c r="G198" s="543"/>
      <c r="H198" s="543"/>
    </row>
    <row r="199" spans="2:8" ht="18">
      <c r="B199" s="551"/>
      <c r="C199" s="543"/>
      <c r="D199" s="543"/>
      <c r="E199" s="543"/>
      <c r="F199" s="543"/>
      <c r="G199" s="543"/>
      <c r="H199" s="543"/>
    </row>
    <row r="200" spans="2:8" ht="18">
      <c r="B200" s="551"/>
      <c r="C200" s="543"/>
      <c r="D200" s="543"/>
      <c r="E200" s="543"/>
      <c r="F200" s="543"/>
      <c r="G200" s="543"/>
      <c r="H200" s="543"/>
    </row>
    <row r="201" spans="2:8" ht="18">
      <c r="B201" s="551"/>
      <c r="C201" s="543"/>
      <c r="D201" s="543"/>
      <c r="E201" s="543"/>
      <c r="F201" s="543"/>
      <c r="G201" s="543"/>
      <c r="H201" s="543"/>
    </row>
    <row r="202" spans="2:8" ht="18">
      <c r="B202" s="551"/>
      <c r="C202" s="543"/>
      <c r="D202" s="543"/>
      <c r="E202" s="543"/>
      <c r="F202" s="543"/>
      <c r="G202" s="543"/>
      <c r="H202" s="543"/>
    </row>
    <row r="203" spans="2:8" ht="18">
      <c r="B203" s="551"/>
      <c r="C203" s="543"/>
      <c r="D203" s="543"/>
      <c r="E203" s="543"/>
      <c r="F203" s="543"/>
      <c r="G203" s="543"/>
      <c r="H203" s="543"/>
    </row>
    <row r="204" spans="2:8" ht="18">
      <c r="B204" s="551"/>
      <c r="C204" s="543"/>
      <c r="D204" s="543"/>
      <c r="E204" s="543"/>
      <c r="F204" s="543"/>
      <c r="G204" s="543"/>
      <c r="H204" s="543"/>
    </row>
    <row r="205" spans="2:8" ht="18">
      <c r="B205" s="551"/>
      <c r="C205" s="543"/>
      <c r="D205" s="543"/>
      <c r="E205" s="543"/>
      <c r="F205" s="543"/>
      <c r="G205" s="543"/>
      <c r="H205" s="543"/>
    </row>
    <row r="206" spans="2:8" ht="18">
      <c r="B206" s="551"/>
      <c r="C206" s="543"/>
      <c r="D206" s="543"/>
      <c r="E206" s="543"/>
      <c r="F206" s="543"/>
      <c r="G206" s="543"/>
      <c r="H206" s="543"/>
    </row>
    <row r="207" spans="2:8" ht="18">
      <c r="B207" s="551"/>
      <c r="C207" s="543"/>
      <c r="D207" s="543"/>
      <c r="E207" s="543"/>
      <c r="F207" s="543"/>
      <c r="G207" s="543"/>
      <c r="H207" s="543"/>
    </row>
    <row r="208" spans="2:8" ht="18">
      <c r="B208" s="551"/>
      <c r="C208" s="543"/>
      <c r="D208" s="543"/>
      <c r="E208" s="543"/>
      <c r="F208" s="543"/>
      <c r="G208" s="543"/>
      <c r="H208" s="543"/>
    </row>
    <row r="209" spans="2:8" ht="18">
      <c r="B209" s="551"/>
      <c r="C209" s="543"/>
      <c r="D209" s="543"/>
      <c r="E209" s="543"/>
      <c r="F209" s="543"/>
      <c r="G209" s="543"/>
      <c r="H209" s="543"/>
    </row>
    <row r="210" spans="2:8" ht="18">
      <c r="B210" s="551"/>
      <c r="C210" s="543"/>
      <c r="D210" s="543"/>
      <c r="E210" s="543"/>
      <c r="F210" s="543"/>
      <c r="G210" s="543"/>
      <c r="H210" s="543"/>
    </row>
    <row r="211" spans="2:8" ht="18">
      <c r="B211" s="551"/>
      <c r="C211" s="543"/>
      <c r="D211" s="543"/>
      <c r="E211" s="543"/>
      <c r="F211" s="543"/>
      <c r="G211" s="543"/>
      <c r="H211" s="543"/>
    </row>
    <row r="212" spans="2:8" ht="18">
      <c r="B212" s="551"/>
      <c r="C212" s="543"/>
      <c r="D212" s="543"/>
      <c r="E212" s="543"/>
      <c r="F212" s="543"/>
      <c r="G212" s="543"/>
      <c r="H212" s="543"/>
    </row>
    <row r="213" spans="2:8" ht="18">
      <c r="B213" s="551"/>
      <c r="C213" s="543"/>
      <c r="D213" s="543"/>
      <c r="E213" s="543"/>
      <c r="F213" s="543"/>
      <c r="G213" s="543"/>
      <c r="H213" s="543"/>
    </row>
    <row r="214" spans="2:8" ht="18">
      <c r="B214" s="551"/>
      <c r="C214" s="543"/>
      <c r="D214" s="543"/>
      <c r="E214" s="543"/>
      <c r="F214" s="543"/>
      <c r="G214" s="543"/>
      <c r="H214" s="543"/>
    </row>
    <row r="215" spans="2:8" ht="18">
      <c r="B215" s="551"/>
      <c r="C215" s="543"/>
      <c r="D215" s="543"/>
      <c r="E215" s="543"/>
      <c r="F215" s="543"/>
      <c r="G215" s="543"/>
      <c r="H215" s="543"/>
    </row>
    <row r="216" spans="2:8" ht="18">
      <c r="B216" s="551"/>
      <c r="C216" s="543"/>
      <c r="D216" s="543"/>
      <c r="E216" s="543"/>
      <c r="F216" s="543"/>
      <c r="G216" s="543"/>
      <c r="H216" s="543"/>
    </row>
    <row r="217" spans="2:8" ht="18">
      <c r="B217" s="551"/>
      <c r="C217" s="543"/>
      <c r="D217" s="543"/>
      <c r="E217" s="543"/>
      <c r="F217" s="543"/>
      <c r="G217" s="543"/>
      <c r="H217" s="543"/>
    </row>
    <row r="218" spans="2:8" ht="18">
      <c r="B218" s="551"/>
      <c r="C218" s="543"/>
      <c r="D218" s="543"/>
      <c r="E218" s="543"/>
      <c r="F218" s="543"/>
      <c r="G218" s="543"/>
      <c r="H218" s="543"/>
    </row>
    <row r="219" spans="2:8" ht="18">
      <c r="B219" s="551"/>
      <c r="C219" s="543"/>
      <c r="D219" s="543"/>
      <c r="E219" s="543"/>
      <c r="F219" s="543"/>
      <c r="G219" s="543"/>
      <c r="H219" s="543"/>
    </row>
    <row r="220" spans="2:8" ht="18">
      <c r="B220" s="551"/>
      <c r="C220" s="543"/>
      <c r="D220" s="543"/>
      <c r="E220" s="543"/>
      <c r="F220" s="543"/>
      <c r="G220" s="543"/>
      <c r="H220" s="543"/>
    </row>
    <row r="221" spans="2:8" ht="18">
      <c r="B221" s="551"/>
      <c r="C221" s="543"/>
      <c r="D221" s="543"/>
      <c r="E221" s="543"/>
      <c r="F221" s="543"/>
      <c r="G221" s="543"/>
      <c r="H221" s="543"/>
    </row>
    <row r="222" spans="2:8" ht="18">
      <c r="B222" s="551"/>
      <c r="C222" s="543"/>
      <c r="D222" s="543"/>
      <c r="E222" s="543"/>
      <c r="F222" s="543"/>
      <c r="G222" s="543"/>
      <c r="H222" s="543"/>
    </row>
    <row r="223" spans="2:8" ht="18">
      <c r="B223" s="551"/>
      <c r="C223" s="543"/>
      <c r="D223" s="543"/>
      <c r="E223" s="543"/>
      <c r="F223" s="543"/>
      <c r="G223" s="543"/>
      <c r="H223" s="543"/>
    </row>
    <row r="224" spans="2:8" ht="18">
      <c r="B224" s="551"/>
      <c r="C224" s="543"/>
      <c r="D224" s="543"/>
      <c r="E224" s="543"/>
      <c r="F224" s="543"/>
      <c r="G224" s="543"/>
      <c r="H224" s="543"/>
    </row>
    <row r="225" spans="2:9" ht="18">
      <c r="B225" s="551"/>
      <c r="C225" s="543"/>
      <c r="D225" s="543"/>
      <c r="E225" s="543"/>
      <c r="F225" s="543"/>
      <c r="G225" s="543"/>
      <c r="H225" s="543"/>
    </row>
    <row r="226" spans="2:9" ht="18">
      <c r="B226" s="551"/>
      <c r="C226" s="543"/>
      <c r="D226" s="543"/>
      <c r="E226" s="543"/>
      <c r="F226" s="543"/>
      <c r="G226" s="543"/>
      <c r="H226" s="543"/>
    </row>
    <row r="227" spans="2:9" ht="18">
      <c r="B227" s="551"/>
      <c r="C227" s="543"/>
      <c r="D227" s="543"/>
      <c r="E227" s="543"/>
      <c r="F227" s="543"/>
      <c r="G227" s="543"/>
      <c r="H227" s="543"/>
    </row>
    <row r="228" spans="2:9" ht="18">
      <c r="B228" s="551"/>
      <c r="C228" s="543"/>
      <c r="D228" s="543"/>
      <c r="E228" s="543"/>
      <c r="F228" s="543"/>
      <c r="G228" s="543"/>
      <c r="H228" s="543"/>
      <c r="I228" s="861"/>
    </row>
    <row r="229" spans="2:9" ht="18">
      <c r="B229" s="551"/>
      <c r="C229" s="543"/>
      <c r="D229" s="543"/>
      <c r="E229" s="543"/>
      <c r="F229" s="543"/>
      <c r="G229" s="543"/>
      <c r="H229" s="543"/>
    </row>
    <row r="230" spans="2:9" ht="18">
      <c r="B230" s="551"/>
      <c r="C230" s="543"/>
      <c r="D230" s="543"/>
      <c r="E230" s="543"/>
      <c r="F230" s="543"/>
      <c r="G230" s="543"/>
      <c r="H230" s="543"/>
    </row>
    <row r="231" spans="2:9">
      <c r="B231" s="463"/>
      <c r="C231" s="461"/>
      <c r="D231" s="461"/>
      <c r="E231" s="461"/>
      <c r="F231" s="461"/>
      <c r="G231" s="461"/>
      <c r="H231" s="461"/>
    </row>
    <row r="232" spans="2:9">
      <c r="B232" s="463"/>
      <c r="C232" s="461"/>
      <c r="D232" s="461"/>
      <c r="E232" s="461"/>
      <c r="F232" s="461"/>
      <c r="G232" s="461"/>
      <c r="H232" s="461"/>
    </row>
    <row r="233" spans="2:9">
      <c r="B233" s="463"/>
      <c r="C233" s="461"/>
      <c r="D233" s="461"/>
      <c r="E233" s="461"/>
      <c r="F233" s="461"/>
      <c r="G233" s="461"/>
      <c r="H233" s="461"/>
    </row>
    <row r="234" spans="2:9">
      <c r="B234" s="463"/>
      <c r="C234" s="461"/>
      <c r="D234" s="461"/>
      <c r="E234" s="461"/>
      <c r="F234" s="461"/>
      <c r="G234" s="461"/>
      <c r="H234" s="461"/>
    </row>
    <row r="235" spans="2:9">
      <c r="B235" s="463"/>
      <c r="C235" s="461"/>
      <c r="D235" s="461"/>
      <c r="E235" s="461"/>
      <c r="F235" s="461"/>
      <c r="G235" s="461"/>
      <c r="H235" s="461"/>
    </row>
    <row r="236" spans="2:9">
      <c r="B236" s="463"/>
      <c r="C236" s="461"/>
      <c r="D236" s="461"/>
      <c r="E236" s="461"/>
      <c r="F236" s="461"/>
      <c r="G236" s="461"/>
      <c r="H236" s="461"/>
    </row>
    <row r="237" spans="2:9">
      <c r="B237" s="463"/>
      <c r="C237" s="461"/>
      <c r="D237" s="461"/>
      <c r="E237" s="461"/>
      <c r="F237" s="461"/>
      <c r="G237" s="461"/>
      <c r="H237" s="461"/>
    </row>
    <row r="238" spans="2:9">
      <c r="B238" s="463"/>
      <c r="C238" s="461"/>
      <c r="D238" s="461"/>
      <c r="E238" s="461"/>
      <c r="F238" s="461"/>
      <c r="G238" s="461"/>
      <c r="H238" s="461"/>
    </row>
    <row r="239" spans="2:9">
      <c r="B239" s="463"/>
      <c r="C239" s="461"/>
      <c r="D239" s="461"/>
      <c r="E239" s="461"/>
      <c r="F239" s="461"/>
      <c r="G239" s="461"/>
      <c r="H239" s="461"/>
    </row>
    <row r="240" spans="2:9">
      <c r="B240" s="463"/>
      <c r="C240" s="461"/>
      <c r="D240" s="461"/>
      <c r="E240" s="461"/>
      <c r="F240" s="461"/>
      <c r="G240" s="461"/>
      <c r="H240" s="461"/>
    </row>
    <row r="241" spans="2:8">
      <c r="B241" s="463"/>
      <c r="C241" s="461"/>
      <c r="D241" s="461"/>
      <c r="E241" s="461"/>
      <c r="F241" s="461"/>
      <c r="G241" s="461"/>
      <c r="H241" s="461"/>
    </row>
    <row r="242" spans="2:8">
      <c r="B242" s="463"/>
      <c r="C242" s="461"/>
      <c r="D242" s="461"/>
      <c r="E242" s="461"/>
      <c r="F242" s="461"/>
      <c r="G242" s="461"/>
      <c r="H242" s="461"/>
    </row>
    <row r="243" spans="2:8">
      <c r="B243" s="463"/>
      <c r="C243" s="461"/>
      <c r="D243" s="461"/>
      <c r="E243" s="461"/>
      <c r="F243" s="461"/>
      <c r="G243" s="461"/>
      <c r="H243" s="461"/>
    </row>
    <row r="244" spans="2:8">
      <c r="B244" s="463"/>
      <c r="C244" s="461"/>
      <c r="D244" s="461"/>
      <c r="E244" s="461"/>
      <c r="F244" s="461"/>
      <c r="G244" s="461"/>
      <c r="H244" s="461"/>
    </row>
    <row r="245" spans="2:8">
      <c r="B245" s="463"/>
      <c r="C245" s="461"/>
      <c r="D245" s="461"/>
      <c r="E245" s="461"/>
      <c r="F245" s="461"/>
      <c r="G245" s="461"/>
      <c r="H245" s="461"/>
    </row>
    <row r="246" spans="2:8">
      <c r="B246" s="463"/>
      <c r="C246" s="461"/>
      <c r="D246" s="461"/>
      <c r="E246" s="461"/>
      <c r="F246" s="461"/>
      <c r="G246" s="461"/>
      <c r="H246" s="461"/>
    </row>
    <row r="247" spans="2:8">
      <c r="B247" s="463"/>
      <c r="C247" s="461"/>
      <c r="D247" s="461"/>
      <c r="E247" s="461"/>
      <c r="F247" s="461"/>
      <c r="G247" s="461"/>
      <c r="H247" s="461"/>
    </row>
    <row r="248" spans="2:8">
      <c r="B248" s="463"/>
      <c r="C248" s="461"/>
      <c r="D248" s="461"/>
      <c r="E248" s="461"/>
      <c r="F248" s="461"/>
      <c r="G248" s="461"/>
      <c r="H248" s="461"/>
    </row>
    <row r="249" spans="2:8">
      <c r="B249" s="463"/>
      <c r="C249" s="461"/>
      <c r="D249" s="461"/>
      <c r="E249" s="461"/>
      <c r="F249" s="461"/>
      <c r="G249" s="461"/>
      <c r="H249" s="461"/>
    </row>
    <row r="250" spans="2:8">
      <c r="B250" s="463"/>
      <c r="C250" s="461"/>
      <c r="D250" s="461"/>
      <c r="E250" s="461"/>
      <c r="F250" s="461"/>
      <c r="G250" s="461"/>
      <c r="H250" s="461"/>
    </row>
    <row r="251" spans="2:8">
      <c r="B251" s="463"/>
      <c r="C251" s="461"/>
      <c r="D251" s="461"/>
      <c r="E251" s="461"/>
      <c r="F251" s="461"/>
      <c r="G251" s="461"/>
      <c r="H251" s="461"/>
    </row>
    <row r="252" spans="2:8">
      <c r="B252" s="463"/>
      <c r="C252" s="461"/>
      <c r="D252" s="461"/>
      <c r="E252" s="461"/>
      <c r="F252" s="461"/>
      <c r="G252" s="461"/>
      <c r="H252" s="461"/>
    </row>
    <row r="253" spans="2:8">
      <c r="B253" s="463"/>
      <c r="C253" s="461"/>
      <c r="D253" s="461"/>
      <c r="E253" s="461"/>
      <c r="F253" s="461"/>
      <c r="G253" s="461"/>
      <c r="H253" s="461"/>
    </row>
    <row r="254" spans="2:8">
      <c r="B254" s="463"/>
      <c r="C254" s="461"/>
      <c r="D254" s="461"/>
      <c r="E254" s="461"/>
      <c r="F254" s="461"/>
      <c r="G254" s="461"/>
      <c r="H254" s="461"/>
    </row>
    <row r="255" spans="2:8">
      <c r="B255" s="463"/>
      <c r="C255" s="461"/>
      <c r="D255" s="461"/>
      <c r="E255" s="461"/>
      <c r="F255" s="461"/>
      <c r="G255" s="461"/>
      <c r="H255" s="461"/>
    </row>
    <row r="256" spans="2:8">
      <c r="B256" s="463"/>
      <c r="C256" s="461"/>
      <c r="D256" s="461"/>
      <c r="E256" s="461"/>
      <c r="F256" s="461"/>
      <c r="G256" s="461"/>
      <c r="H256" s="461"/>
    </row>
    <row r="257" spans="2:8">
      <c r="B257" s="463"/>
      <c r="C257" s="461"/>
      <c r="D257" s="461"/>
      <c r="E257" s="461"/>
      <c r="F257" s="461"/>
      <c r="G257" s="461"/>
      <c r="H257" s="461"/>
    </row>
    <row r="258" spans="2:8">
      <c r="B258" s="463"/>
      <c r="C258" s="461"/>
      <c r="D258" s="461"/>
      <c r="E258" s="461"/>
      <c r="F258" s="461"/>
      <c r="G258" s="461"/>
      <c r="H258" s="461"/>
    </row>
    <row r="259" spans="2:8">
      <c r="B259" s="463"/>
      <c r="C259" s="461"/>
      <c r="D259" s="461"/>
      <c r="E259" s="461"/>
      <c r="F259" s="461"/>
      <c r="G259" s="461"/>
      <c r="H259" s="461"/>
    </row>
    <row r="260" spans="2:8">
      <c r="B260" s="463"/>
      <c r="C260" s="461"/>
      <c r="D260" s="461"/>
      <c r="E260" s="461"/>
      <c r="F260" s="461"/>
      <c r="G260" s="461"/>
      <c r="H260" s="461"/>
    </row>
    <row r="261" spans="2:8">
      <c r="B261" s="463"/>
      <c r="C261" s="461"/>
      <c r="D261" s="461"/>
      <c r="E261" s="461"/>
      <c r="F261" s="461"/>
      <c r="G261" s="461"/>
      <c r="H261" s="461"/>
    </row>
    <row r="262" spans="2:8">
      <c r="B262" s="463"/>
      <c r="C262" s="461"/>
      <c r="D262" s="461"/>
      <c r="E262" s="461"/>
      <c r="F262" s="461"/>
      <c r="G262" s="461"/>
      <c r="H262" s="461"/>
    </row>
    <row r="263" spans="2:8">
      <c r="B263" s="463"/>
      <c r="C263" s="461"/>
      <c r="D263" s="461"/>
      <c r="E263" s="461"/>
      <c r="F263" s="461"/>
      <c r="G263" s="461"/>
      <c r="H263" s="461"/>
    </row>
    <row r="264" spans="2:8">
      <c r="B264" s="463"/>
      <c r="C264" s="461"/>
      <c r="D264" s="461"/>
      <c r="E264" s="461"/>
      <c r="F264" s="461"/>
      <c r="G264" s="461"/>
      <c r="H264" s="461"/>
    </row>
    <row r="265" spans="2:8">
      <c r="B265" s="463"/>
      <c r="C265" s="461"/>
      <c r="D265" s="461"/>
      <c r="E265" s="461"/>
      <c r="F265" s="461"/>
      <c r="G265" s="461"/>
      <c r="H265" s="461"/>
    </row>
    <row r="266" spans="2:8">
      <c r="B266" s="463"/>
      <c r="C266" s="461"/>
      <c r="D266" s="461"/>
      <c r="E266" s="461"/>
      <c r="F266" s="461"/>
      <c r="G266" s="461"/>
      <c r="H266" s="461"/>
    </row>
    <row r="267" spans="2:8">
      <c r="B267" s="463"/>
      <c r="C267" s="461"/>
      <c r="D267" s="461"/>
      <c r="E267" s="461"/>
      <c r="F267" s="461"/>
      <c r="G267" s="461"/>
      <c r="H267" s="461"/>
    </row>
    <row r="268" spans="2:8">
      <c r="B268" s="463"/>
      <c r="C268" s="461"/>
      <c r="D268" s="461"/>
      <c r="E268" s="461"/>
      <c r="F268" s="461"/>
      <c r="G268" s="461"/>
      <c r="H268" s="461"/>
    </row>
    <row r="269" spans="2:8">
      <c r="B269" s="463"/>
      <c r="C269" s="461"/>
      <c r="D269" s="461"/>
      <c r="E269" s="461"/>
      <c r="F269" s="461"/>
      <c r="G269" s="461"/>
      <c r="H269" s="461"/>
    </row>
    <row r="270" spans="2:8">
      <c r="B270" s="463"/>
      <c r="C270" s="461"/>
      <c r="D270" s="461"/>
      <c r="E270" s="461"/>
      <c r="F270" s="461"/>
      <c r="G270" s="461"/>
      <c r="H270" s="461"/>
    </row>
    <row r="271" spans="2:8">
      <c r="B271" s="463"/>
      <c r="C271" s="461"/>
      <c r="D271" s="461"/>
      <c r="E271" s="461"/>
      <c r="F271" s="461"/>
      <c r="G271" s="461"/>
      <c r="H271" s="461"/>
    </row>
    <row r="272" spans="2:8">
      <c r="B272" s="463"/>
      <c r="C272" s="461"/>
      <c r="D272" s="461"/>
      <c r="E272" s="461"/>
      <c r="F272" s="461"/>
      <c r="G272" s="461"/>
      <c r="H272" s="461"/>
    </row>
    <row r="273" spans="2:8">
      <c r="B273" s="463"/>
      <c r="C273" s="461"/>
      <c r="D273" s="461"/>
      <c r="E273" s="461"/>
      <c r="F273" s="461"/>
      <c r="G273" s="461"/>
      <c r="H273" s="461"/>
    </row>
    <row r="274" spans="2:8">
      <c r="B274" s="463"/>
      <c r="C274" s="461"/>
      <c r="D274" s="461"/>
      <c r="E274" s="461"/>
      <c r="F274" s="461"/>
      <c r="G274" s="461"/>
      <c r="H274" s="461"/>
    </row>
    <row r="275" spans="2:8">
      <c r="B275" s="463"/>
      <c r="C275" s="461"/>
      <c r="D275" s="461"/>
      <c r="E275" s="461"/>
      <c r="F275" s="461"/>
      <c r="G275" s="461"/>
      <c r="H275" s="461"/>
    </row>
    <row r="276" spans="2:8">
      <c r="B276" s="463"/>
      <c r="C276" s="461"/>
      <c r="D276" s="461"/>
      <c r="E276" s="461"/>
      <c r="F276" s="461"/>
      <c r="G276" s="461"/>
      <c r="H276" s="461"/>
    </row>
    <row r="277" spans="2:8">
      <c r="B277" s="463"/>
      <c r="C277" s="461"/>
      <c r="D277" s="461"/>
      <c r="E277" s="461"/>
      <c r="F277" s="461"/>
      <c r="G277" s="461"/>
      <c r="H277" s="461"/>
    </row>
    <row r="278" spans="2:8">
      <c r="B278" s="463"/>
      <c r="C278" s="461"/>
      <c r="D278" s="461"/>
      <c r="E278" s="461"/>
      <c r="F278" s="461"/>
      <c r="G278" s="461"/>
      <c r="H278" s="461"/>
    </row>
    <row r="279" spans="2:8">
      <c r="B279" s="463"/>
      <c r="C279" s="461"/>
      <c r="D279" s="461"/>
      <c r="E279" s="461"/>
      <c r="F279" s="461"/>
      <c r="G279" s="461"/>
      <c r="H279" s="461"/>
    </row>
    <row r="280" spans="2:8">
      <c r="B280" s="463"/>
      <c r="C280" s="461"/>
      <c r="D280" s="461"/>
      <c r="E280" s="461"/>
      <c r="F280" s="461"/>
      <c r="G280" s="461"/>
      <c r="H280" s="461"/>
    </row>
    <row r="281" spans="2:8">
      <c r="B281" s="463"/>
      <c r="C281" s="461"/>
      <c r="D281" s="461"/>
      <c r="E281" s="461"/>
      <c r="F281" s="461"/>
      <c r="G281" s="461"/>
      <c r="H281" s="461"/>
    </row>
    <row r="282" spans="2:8">
      <c r="B282" s="463"/>
      <c r="C282" s="461"/>
      <c r="D282" s="461"/>
      <c r="E282" s="461"/>
      <c r="F282" s="461"/>
      <c r="G282" s="461"/>
      <c r="H282" s="461"/>
    </row>
    <row r="283" spans="2:8">
      <c r="B283" s="463"/>
      <c r="C283" s="461"/>
      <c r="D283" s="461"/>
      <c r="E283" s="461"/>
      <c r="F283" s="461"/>
      <c r="G283" s="461"/>
      <c r="H283" s="461"/>
    </row>
    <row r="284" spans="2:8">
      <c r="B284" s="463"/>
      <c r="C284" s="461"/>
      <c r="D284" s="461"/>
      <c r="E284" s="461"/>
      <c r="F284" s="461"/>
      <c r="G284" s="461"/>
      <c r="H284" s="461"/>
    </row>
    <row r="285" spans="2:8">
      <c r="B285" s="463"/>
      <c r="C285" s="461"/>
      <c r="D285" s="461"/>
      <c r="E285" s="461"/>
      <c r="F285" s="461"/>
      <c r="G285" s="461"/>
      <c r="H285" s="461"/>
    </row>
    <row r="286" spans="2:8">
      <c r="B286" s="463"/>
      <c r="C286" s="461"/>
      <c r="D286" s="461"/>
      <c r="E286" s="461"/>
      <c r="F286" s="461"/>
      <c r="G286" s="461"/>
      <c r="H286" s="461"/>
    </row>
    <row r="287" spans="2:8">
      <c r="B287" s="463"/>
      <c r="C287" s="461"/>
      <c r="D287" s="461"/>
      <c r="E287" s="461"/>
      <c r="F287" s="461"/>
      <c r="G287" s="461"/>
      <c r="H287" s="461"/>
    </row>
    <row r="288" spans="2:8">
      <c r="B288" s="463"/>
      <c r="C288" s="461"/>
      <c r="D288" s="461"/>
      <c r="E288" s="461"/>
      <c r="F288" s="461"/>
      <c r="G288" s="461"/>
      <c r="H288" s="461"/>
    </row>
    <row r="289" spans="2:8">
      <c r="B289" s="463"/>
      <c r="C289" s="461"/>
      <c r="D289" s="461"/>
      <c r="E289" s="461"/>
      <c r="F289" s="461"/>
      <c r="G289" s="461"/>
      <c r="H289" s="461"/>
    </row>
    <row r="290" spans="2:8">
      <c r="B290" s="463"/>
      <c r="C290" s="461"/>
      <c r="D290" s="461"/>
      <c r="E290" s="461"/>
      <c r="F290" s="461"/>
      <c r="G290" s="461"/>
      <c r="H290" s="461"/>
    </row>
    <row r="291" spans="2:8">
      <c r="B291" s="463"/>
      <c r="C291" s="461"/>
      <c r="D291" s="461"/>
      <c r="E291" s="461"/>
      <c r="F291" s="461"/>
      <c r="G291" s="461"/>
      <c r="H291" s="461"/>
    </row>
    <row r="292" spans="2:8">
      <c r="B292" s="463"/>
      <c r="C292" s="461"/>
      <c r="D292" s="461"/>
      <c r="E292" s="461"/>
      <c r="F292" s="461"/>
      <c r="G292" s="461"/>
      <c r="H292" s="461"/>
    </row>
    <row r="293" spans="2:8">
      <c r="B293" s="463"/>
      <c r="C293" s="461"/>
      <c r="D293" s="461"/>
      <c r="E293" s="461"/>
      <c r="F293" s="461"/>
      <c r="G293" s="461"/>
      <c r="H293" s="461"/>
    </row>
    <row r="294" spans="2:8">
      <c r="B294" s="463"/>
      <c r="C294" s="461"/>
      <c r="D294" s="461"/>
      <c r="E294" s="461"/>
      <c r="F294" s="461"/>
      <c r="G294" s="461"/>
      <c r="H294" s="461"/>
    </row>
    <row r="295" spans="2:8">
      <c r="B295" s="463"/>
      <c r="C295" s="461"/>
      <c r="D295" s="461"/>
      <c r="E295" s="461"/>
      <c r="F295" s="461"/>
      <c r="G295" s="461"/>
      <c r="H295" s="461"/>
    </row>
    <row r="296" spans="2:8">
      <c r="B296" s="463"/>
      <c r="C296" s="461"/>
      <c r="D296" s="461"/>
      <c r="E296" s="461"/>
      <c r="F296" s="461"/>
      <c r="G296" s="461"/>
      <c r="H296" s="461"/>
    </row>
    <row r="297" spans="2:8">
      <c r="B297" s="463"/>
      <c r="C297" s="461"/>
      <c r="D297" s="461"/>
      <c r="E297" s="461"/>
      <c r="F297" s="461"/>
      <c r="G297" s="461"/>
      <c r="H297" s="461"/>
    </row>
    <row r="298" spans="2:8">
      <c r="B298" s="463"/>
      <c r="C298" s="461"/>
      <c r="D298" s="461"/>
      <c r="E298" s="461"/>
      <c r="F298" s="461"/>
      <c r="G298" s="461"/>
      <c r="H298" s="461"/>
    </row>
    <row r="299" spans="2:8">
      <c r="B299" s="463"/>
      <c r="C299" s="461"/>
      <c r="D299" s="461"/>
      <c r="E299" s="461"/>
      <c r="F299" s="461"/>
      <c r="G299" s="461"/>
      <c r="H299" s="461"/>
    </row>
    <row r="300" spans="2:8">
      <c r="B300" s="463"/>
      <c r="C300" s="461"/>
      <c r="D300" s="461"/>
      <c r="E300" s="461"/>
      <c r="F300" s="461"/>
      <c r="G300" s="461"/>
      <c r="H300" s="461"/>
    </row>
    <row r="301" spans="2:8">
      <c r="B301" s="463"/>
      <c r="C301" s="461"/>
      <c r="D301" s="461"/>
      <c r="E301" s="461"/>
      <c r="F301" s="461"/>
      <c r="G301" s="461"/>
      <c r="H301" s="461"/>
    </row>
    <row r="302" spans="2:8">
      <c r="B302" s="463"/>
      <c r="C302" s="461"/>
      <c r="D302" s="461"/>
      <c r="E302" s="461"/>
      <c r="F302" s="461"/>
      <c r="G302" s="461"/>
      <c r="H302" s="461"/>
    </row>
    <row r="303" spans="2:8">
      <c r="B303" s="463"/>
      <c r="C303" s="461"/>
      <c r="D303" s="461"/>
      <c r="E303" s="461"/>
      <c r="F303" s="461"/>
      <c r="G303" s="461"/>
      <c r="H303" s="461"/>
    </row>
    <row r="304" spans="2:8">
      <c r="B304" s="463"/>
      <c r="C304" s="461"/>
      <c r="D304" s="461"/>
      <c r="E304" s="461"/>
      <c r="F304" s="461"/>
      <c r="G304" s="461"/>
      <c r="H304" s="461"/>
    </row>
    <row r="305" spans="2:8">
      <c r="B305" s="463"/>
      <c r="C305" s="461"/>
      <c r="D305" s="461"/>
      <c r="E305" s="461"/>
      <c r="F305" s="461"/>
      <c r="G305" s="461"/>
      <c r="H305" s="461"/>
    </row>
    <row r="306" spans="2:8">
      <c r="B306" s="463"/>
      <c r="C306" s="461"/>
      <c r="D306" s="461"/>
      <c r="E306" s="461"/>
      <c r="F306" s="461"/>
      <c r="G306" s="461"/>
      <c r="H306" s="461"/>
    </row>
    <row r="307" spans="2:8">
      <c r="B307" s="463"/>
      <c r="C307" s="461"/>
      <c r="D307" s="461"/>
      <c r="E307" s="461"/>
      <c r="F307" s="461"/>
      <c r="G307" s="461"/>
      <c r="H307" s="461"/>
    </row>
    <row r="308" spans="2:8">
      <c r="B308" s="463"/>
      <c r="C308" s="461"/>
      <c r="D308" s="461"/>
      <c r="E308" s="461"/>
      <c r="F308" s="461"/>
      <c r="G308" s="461"/>
      <c r="H308" s="461"/>
    </row>
    <row r="309" spans="2:8">
      <c r="B309" s="463"/>
      <c r="C309" s="461"/>
      <c r="D309" s="461"/>
      <c r="E309" s="461"/>
      <c r="F309" s="461"/>
      <c r="G309" s="461"/>
      <c r="H309" s="461"/>
    </row>
    <row r="310" spans="2:8">
      <c r="B310" s="463"/>
      <c r="C310" s="461"/>
      <c r="D310" s="461"/>
      <c r="E310" s="461"/>
      <c r="F310" s="461"/>
      <c r="G310" s="461"/>
      <c r="H310" s="461"/>
    </row>
    <row r="311" spans="2:8">
      <c r="B311" s="463"/>
      <c r="C311" s="461"/>
      <c r="D311" s="461"/>
      <c r="E311" s="461"/>
      <c r="F311" s="461"/>
      <c r="G311" s="461"/>
      <c r="H311" s="461"/>
    </row>
    <row r="312" spans="2:8">
      <c r="B312" s="463"/>
      <c r="C312" s="461"/>
      <c r="D312" s="461"/>
      <c r="E312" s="461"/>
      <c r="F312" s="461"/>
      <c r="G312" s="461"/>
      <c r="H312" s="461"/>
    </row>
    <row r="313" spans="2:8">
      <c r="B313" s="463"/>
      <c r="C313" s="461"/>
      <c r="D313" s="461"/>
      <c r="E313" s="461"/>
      <c r="F313" s="461"/>
      <c r="G313" s="461"/>
      <c r="H313" s="461"/>
    </row>
    <row r="314" spans="2:8">
      <c r="B314" s="463"/>
      <c r="C314" s="461"/>
      <c r="D314" s="461"/>
      <c r="E314" s="461"/>
      <c r="F314" s="461"/>
      <c r="G314" s="461"/>
      <c r="H314" s="461"/>
    </row>
    <row r="315" spans="2:8">
      <c r="B315" s="463"/>
      <c r="C315" s="461"/>
      <c r="D315" s="461"/>
      <c r="E315" s="461"/>
      <c r="F315" s="461"/>
      <c r="G315" s="461"/>
      <c r="H315" s="461"/>
    </row>
    <row r="316" spans="2:8">
      <c r="B316" s="463"/>
      <c r="C316" s="461"/>
      <c r="D316" s="461"/>
      <c r="E316" s="461"/>
      <c r="F316" s="461"/>
      <c r="G316" s="461"/>
      <c r="H316" s="461"/>
    </row>
    <row r="317" spans="2:8">
      <c r="B317" s="463"/>
      <c r="C317" s="461"/>
      <c r="D317" s="461"/>
      <c r="E317" s="461"/>
      <c r="F317" s="461"/>
      <c r="G317" s="461"/>
      <c r="H317" s="461"/>
    </row>
    <row r="318" spans="2:8">
      <c r="B318" s="463"/>
      <c r="C318" s="461"/>
      <c r="D318" s="461"/>
      <c r="E318" s="461"/>
      <c r="F318" s="461"/>
      <c r="G318" s="461"/>
      <c r="H318" s="461"/>
    </row>
    <row r="319" spans="2:8">
      <c r="B319" s="463"/>
      <c r="C319" s="461"/>
      <c r="D319" s="461"/>
      <c r="E319" s="461"/>
      <c r="F319" s="461"/>
      <c r="G319" s="461"/>
      <c r="H319" s="461"/>
    </row>
    <row r="320" spans="2:8">
      <c r="B320" s="463"/>
      <c r="C320" s="461"/>
      <c r="D320" s="461"/>
      <c r="E320" s="461"/>
      <c r="F320" s="461"/>
      <c r="G320" s="461"/>
      <c r="H320" s="461"/>
    </row>
    <row r="321" spans="2:8">
      <c r="B321" s="463"/>
      <c r="C321" s="461"/>
      <c r="D321" s="461"/>
      <c r="E321" s="461"/>
      <c r="F321" s="461"/>
      <c r="G321" s="461"/>
      <c r="H321" s="461"/>
    </row>
    <row r="322" spans="2:8">
      <c r="B322" s="463"/>
      <c r="C322" s="461"/>
      <c r="D322" s="461"/>
      <c r="E322" s="461"/>
      <c r="F322" s="461"/>
      <c r="G322" s="461"/>
      <c r="H322" s="461"/>
    </row>
    <row r="323" spans="2:8">
      <c r="B323" s="463"/>
      <c r="C323" s="461"/>
      <c r="D323" s="461"/>
      <c r="E323" s="461"/>
      <c r="F323" s="461"/>
      <c r="G323" s="461"/>
      <c r="H323" s="461"/>
    </row>
    <row r="324" spans="2:8">
      <c r="B324" s="463"/>
      <c r="C324" s="461"/>
      <c r="D324" s="461"/>
      <c r="E324" s="461"/>
      <c r="F324" s="461"/>
      <c r="G324" s="461"/>
      <c r="H324" s="461"/>
    </row>
    <row r="325" spans="2:8">
      <c r="B325" s="463"/>
      <c r="C325" s="461"/>
      <c r="D325" s="461"/>
      <c r="E325" s="461"/>
      <c r="F325" s="461"/>
      <c r="G325" s="461"/>
      <c r="H325" s="461"/>
    </row>
    <row r="326" spans="2:8">
      <c r="B326" s="463"/>
      <c r="C326" s="461"/>
      <c r="D326" s="461"/>
      <c r="E326" s="461"/>
      <c r="F326" s="461"/>
      <c r="G326" s="461"/>
      <c r="H326" s="461"/>
    </row>
    <row r="327" spans="2:8">
      <c r="B327" s="463"/>
      <c r="C327" s="461"/>
      <c r="D327" s="461"/>
      <c r="E327" s="461"/>
      <c r="F327" s="461"/>
      <c r="G327" s="461"/>
      <c r="H327" s="461"/>
    </row>
    <row r="328" spans="2:8">
      <c r="B328" s="463"/>
      <c r="C328" s="461"/>
      <c r="D328" s="461"/>
      <c r="E328" s="461"/>
      <c r="F328" s="461"/>
      <c r="G328" s="461"/>
      <c r="H328" s="461"/>
    </row>
    <row r="329" spans="2:8">
      <c r="B329" s="463"/>
      <c r="C329" s="461"/>
      <c r="D329" s="461"/>
      <c r="E329" s="461"/>
      <c r="F329" s="461"/>
      <c r="G329" s="461"/>
      <c r="H329" s="461"/>
    </row>
    <row r="330" spans="2:8">
      <c r="B330" s="463"/>
      <c r="C330" s="461"/>
      <c r="D330" s="461"/>
      <c r="E330" s="461"/>
      <c r="F330" s="461"/>
      <c r="G330" s="461"/>
      <c r="H330" s="461"/>
    </row>
    <row r="331" spans="2:8">
      <c r="B331" s="463"/>
      <c r="C331" s="461"/>
      <c r="D331" s="461"/>
      <c r="E331" s="461"/>
      <c r="F331" s="461"/>
      <c r="G331" s="461"/>
      <c r="H331" s="461"/>
    </row>
    <row r="332" spans="2:8">
      <c r="B332" s="463"/>
      <c r="C332" s="461"/>
      <c r="D332" s="461"/>
      <c r="E332" s="461"/>
      <c r="F332" s="461"/>
      <c r="G332" s="461"/>
      <c r="H332" s="461"/>
    </row>
    <row r="333" spans="2:8">
      <c r="B333" s="463"/>
      <c r="C333" s="461"/>
      <c r="D333" s="461"/>
      <c r="E333" s="461"/>
      <c r="F333" s="461"/>
      <c r="G333" s="461"/>
      <c r="H333" s="461"/>
    </row>
    <row r="334" spans="2:8">
      <c r="B334" s="463"/>
      <c r="C334" s="461"/>
      <c r="D334" s="461"/>
      <c r="E334" s="461"/>
      <c r="F334" s="461"/>
      <c r="G334" s="461"/>
      <c r="H334" s="461"/>
    </row>
    <row r="335" spans="2:8">
      <c r="B335" s="463"/>
      <c r="C335" s="461"/>
      <c r="D335" s="461"/>
      <c r="E335" s="461"/>
      <c r="F335" s="461"/>
      <c r="G335" s="461"/>
      <c r="H335" s="461"/>
    </row>
    <row r="336" spans="2:8">
      <c r="B336" s="463"/>
      <c r="C336" s="461"/>
      <c r="D336" s="461"/>
      <c r="E336" s="461"/>
      <c r="F336" s="461"/>
      <c r="G336" s="461"/>
      <c r="H336" s="461"/>
    </row>
    <row r="337" spans="2:8">
      <c r="B337" s="463"/>
      <c r="C337" s="461"/>
      <c r="D337" s="461"/>
      <c r="E337" s="461"/>
      <c r="F337" s="461"/>
      <c r="G337" s="461"/>
      <c r="H337" s="461"/>
    </row>
    <row r="338" spans="2:8">
      <c r="B338" s="463"/>
      <c r="C338" s="461"/>
      <c r="D338" s="461"/>
      <c r="E338" s="461"/>
      <c r="F338" s="461"/>
      <c r="G338" s="461"/>
      <c r="H338" s="461"/>
    </row>
    <row r="339" spans="2:8">
      <c r="B339" s="463"/>
      <c r="C339" s="461"/>
      <c r="D339" s="461"/>
      <c r="E339" s="461"/>
      <c r="F339" s="461"/>
      <c r="G339" s="461"/>
      <c r="H339" s="461"/>
    </row>
    <row r="340" spans="2:8">
      <c r="B340" s="463"/>
      <c r="C340" s="461"/>
      <c r="D340" s="461"/>
      <c r="E340" s="461"/>
      <c r="F340" s="461"/>
      <c r="G340" s="461"/>
      <c r="H340" s="461"/>
    </row>
    <row r="341" spans="2:8">
      <c r="B341" s="463"/>
      <c r="C341" s="461"/>
      <c r="D341" s="461"/>
      <c r="E341" s="461"/>
      <c r="F341" s="461"/>
      <c r="G341" s="461"/>
      <c r="H341" s="461"/>
    </row>
    <row r="342" spans="2:8">
      <c r="B342" s="463"/>
      <c r="C342" s="461"/>
      <c r="D342" s="461"/>
      <c r="E342" s="461"/>
      <c r="F342" s="461"/>
      <c r="G342" s="461"/>
      <c r="H342" s="461"/>
    </row>
    <row r="343" spans="2:8">
      <c r="B343" s="463"/>
      <c r="C343" s="461"/>
      <c r="D343" s="461"/>
      <c r="E343" s="461"/>
      <c r="F343" s="461"/>
      <c r="G343" s="461"/>
      <c r="H343" s="461"/>
    </row>
    <row r="344" spans="2:8">
      <c r="B344" s="463"/>
      <c r="C344" s="461"/>
      <c r="D344" s="461"/>
      <c r="E344" s="461"/>
      <c r="F344" s="461"/>
      <c r="G344" s="461"/>
      <c r="H344" s="461"/>
    </row>
    <row r="345" spans="2:8">
      <c r="B345" s="463"/>
      <c r="C345" s="461"/>
      <c r="D345" s="461"/>
      <c r="E345" s="461"/>
      <c r="F345" s="461"/>
      <c r="G345" s="461"/>
      <c r="H345" s="461"/>
    </row>
    <row r="346" spans="2:8">
      <c r="B346" s="463"/>
      <c r="C346" s="461"/>
      <c r="D346" s="461"/>
      <c r="E346" s="461"/>
      <c r="F346" s="461"/>
      <c r="G346" s="461"/>
      <c r="H346" s="461"/>
    </row>
    <row r="347" spans="2:8">
      <c r="B347" s="463"/>
      <c r="C347" s="461"/>
      <c r="D347" s="461"/>
      <c r="E347" s="461"/>
      <c r="F347" s="461"/>
      <c r="G347" s="461"/>
      <c r="H347" s="461"/>
    </row>
    <row r="348" spans="2:8">
      <c r="B348" s="463"/>
      <c r="C348" s="461"/>
      <c r="D348" s="461"/>
      <c r="E348" s="461"/>
      <c r="F348" s="461"/>
      <c r="G348" s="461"/>
      <c r="H348" s="461"/>
    </row>
    <row r="349" spans="2:8">
      <c r="B349" s="463"/>
      <c r="C349" s="461"/>
      <c r="D349" s="461"/>
      <c r="E349" s="461"/>
      <c r="F349" s="461"/>
      <c r="G349" s="461"/>
      <c r="H349" s="461"/>
    </row>
    <row r="350" spans="2:8">
      <c r="B350" s="463"/>
      <c r="C350" s="461"/>
      <c r="D350" s="461"/>
      <c r="E350" s="461"/>
      <c r="F350" s="461"/>
      <c r="G350" s="461"/>
      <c r="H350" s="461"/>
    </row>
    <row r="351" spans="2:8">
      <c r="B351" s="463"/>
      <c r="C351" s="461"/>
      <c r="D351" s="461"/>
      <c r="E351" s="461"/>
      <c r="F351" s="461"/>
      <c r="G351" s="461"/>
      <c r="H351" s="461"/>
    </row>
    <row r="352" spans="2:8">
      <c r="B352" s="463"/>
      <c r="C352" s="461"/>
      <c r="D352" s="461"/>
      <c r="E352" s="461"/>
      <c r="F352" s="461"/>
      <c r="G352" s="461"/>
      <c r="H352" s="461"/>
    </row>
    <row r="353" spans="2:8">
      <c r="B353" s="463"/>
      <c r="C353" s="461"/>
      <c r="D353" s="461"/>
      <c r="E353" s="461"/>
      <c r="F353" s="461"/>
      <c r="G353" s="461"/>
      <c r="H353" s="461"/>
    </row>
    <row r="354" spans="2:8">
      <c r="B354" s="463"/>
      <c r="C354" s="461"/>
      <c r="D354" s="461"/>
      <c r="E354" s="461"/>
      <c r="F354" s="461"/>
      <c r="G354" s="461"/>
      <c r="H354" s="461"/>
    </row>
    <row r="355" spans="2:8">
      <c r="B355" s="463"/>
      <c r="C355" s="461"/>
      <c r="D355" s="461"/>
      <c r="E355" s="461"/>
      <c r="F355" s="461"/>
      <c r="G355" s="461"/>
      <c r="H355" s="461"/>
    </row>
    <row r="356" spans="2:8">
      <c r="B356" s="463"/>
      <c r="C356" s="461"/>
      <c r="D356" s="461"/>
      <c r="E356" s="461"/>
      <c r="F356" s="461"/>
      <c r="G356" s="461"/>
      <c r="H356" s="461"/>
    </row>
    <row r="357" spans="2:8">
      <c r="B357" s="463"/>
      <c r="C357" s="461"/>
      <c r="D357" s="461"/>
      <c r="E357" s="461"/>
      <c r="F357" s="461"/>
      <c r="G357" s="461"/>
      <c r="H357" s="461"/>
    </row>
    <row r="358" spans="2:8">
      <c r="B358" s="463"/>
      <c r="C358" s="461"/>
      <c r="D358" s="461"/>
      <c r="E358" s="461"/>
      <c r="F358" s="461"/>
      <c r="G358" s="461"/>
      <c r="H358" s="461"/>
    </row>
    <row r="359" spans="2:8">
      <c r="B359" s="463"/>
      <c r="C359" s="461"/>
      <c r="D359" s="461"/>
      <c r="E359" s="461"/>
      <c r="F359" s="461"/>
      <c r="G359" s="461"/>
      <c r="H359" s="461"/>
    </row>
    <row r="360" spans="2:8">
      <c r="B360" s="463"/>
      <c r="C360" s="461"/>
      <c r="D360" s="461"/>
      <c r="E360" s="461"/>
      <c r="F360" s="461"/>
      <c r="G360" s="461"/>
      <c r="H360" s="461"/>
    </row>
    <row r="361" spans="2:8">
      <c r="B361" s="463"/>
      <c r="C361" s="461"/>
      <c r="D361" s="461"/>
      <c r="E361" s="461"/>
      <c r="F361" s="461"/>
      <c r="G361" s="461"/>
      <c r="H361" s="461"/>
    </row>
    <row r="362" spans="2:8">
      <c r="B362" s="463"/>
      <c r="C362" s="461"/>
      <c r="D362" s="461"/>
      <c r="E362" s="461"/>
      <c r="F362" s="461"/>
      <c r="G362" s="461"/>
      <c r="H362" s="461"/>
    </row>
    <row r="363" spans="2:8">
      <c r="B363" s="463"/>
      <c r="C363" s="461"/>
      <c r="D363" s="461"/>
      <c r="E363" s="461"/>
      <c r="F363" s="461"/>
      <c r="G363" s="461"/>
      <c r="H363" s="461"/>
    </row>
    <row r="364" spans="2:8">
      <c r="B364" s="463"/>
      <c r="C364" s="461"/>
      <c r="D364" s="461"/>
      <c r="E364" s="461"/>
      <c r="F364" s="461"/>
      <c r="G364" s="461"/>
      <c r="H364" s="461"/>
    </row>
    <row r="365" spans="2:8">
      <c r="B365" s="463"/>
      <c r="C365" s="461"/>
      <c r="D365" s="461"/>
      <c r="E365" s="461"/>
      <c r="F365" s="461"/>
      <c r="G365" s="461"/>
      <c r="H365" s="461"/>
    </row>
    <row r="366" spans="2:8">
      <c r="B366" s="463"/>
      <c r="C366" s="461"/>
      <c r="D366" s="461"/>
      <c r="E366" s="461"/>
      <c r="F366" s="461"/>
      <c r="G366" s="461"/>
      <c r="H366" s="461"/>
    </row>
    <row r="367" spans="2:8">
      <c r="B367" s="463"/>
      <c r="C367" s="461"/>
      <c r="D367" s="461"/>
      <c r="E367" s="461"/>
      <c r="F367" s="461"/>
      <c r="G367" s="461"/>
      <c r="H367" s="461"/>
    </row>
    <row r="368" spans="2:8">
      <c r="B368" s="463"/>
      <c r="C368" s="461"/>
      <c r="D368" s="461"/>
      <c r="E368" s="461"/>
      <c r="F368" s="461"/>
      <c r="G368" s="461"/>
      <c r="H368" s="461"/>
    </row>
    <row r="369" spans="2:8">
      <c r="B369" s="463"/>
      <c r="C369" s="461"/>
      <c r="D369" s="461"/>
      <c r="E369" s="461"/>
      <c r="F369" s="461"/>
      <c r="G369" s="461"/>
      <c r="H369" s="461"/>
    </row>
    <row r="370" spans="2:8">
      <c r="B370" s="463"/>
      <c r="C370" s="461"/>
      <c r="D370" s="461"/>
      <c r="E370" s="461"/>
      <c r="F370" s="461"/>
      <c r="G370" s="461"/>
      <c r="H370" s="461"/>
    </row>
    <row r="371" spans="2:8">
      <c r="B371" s="463"/>
      <c r="C371" s="461"/>
      <c r="D371" s="461"/>
      <c r="E371" s="461"/>
      <c r="F371" s="461"/>
      <c r="G371" s="461"/>
      <c r="H371" s="461"/>
    </row>
    <row r="372" spans="2:8">
      <c r="B372" s="463"/>
      <c r="C372" s="461"/>
      <c r="D372" s="461"/>
      <c r="E372" s="461"/>
      <c r="F372" s="461"/>
      <c r="G372" s="461"/>
      <c r="H372" s="461"/>
    </row>
    <row r="373" spans="2:8">
      <c r="B373" s="463"/>
      <c r="C373" s="461"/>
      <c r="D373" s="461"/>
      <c r="E373" s="461"/>
      <c r="F373" s="461"/>
      <c r="G373" s="461"/>
      <c r="H373" s="461"/>
    </row>
    <row r="374" spans="2:8">
      <c r="B374" s="463"/>
      <c r="C374" s="461"/>
      <c r="D374" s="461"/>
      <c r="E374" s="461"/>
      <c r="F374" s="461"/>
      <c r="G374" s="461"/>
      <c r="H374" s="461"/>
    </row>
    <row r="375" spans="2:8">
      <c r="B375" s="463"/>
      <c r="C375" s="461"/>
      <c r="D375" s="461"/>
      <c r="E375" s="461"/>
      <c r="F375" s="461"/>
      <c r="G375" s="461"/>
      <c r="H375" s="461"/>
    </row>
    <row r="376" spans="2:8">
      <c r="B376" s="463"/>
      <c r="C376" s="461"/>
      <c r="D376" s="461"/>
      <c r="E376" s="461"/>
      <c r="F376" s="461"/>
      <c r="G376" s="461"/>
      <c r="H376" s="461"/>
    </row>
    <row r="377" spans="2:8">
      <c r="B377" s="463"/>
      <c r="C377" s="461"/>
      <c r="D377" s="461"/>
      <c r="E377" s="461"/>
      <c r="F377" s="461"/>
      <c r="G377" s="461"/>
      <c r="H377" s="461"/>
    </row>
    <row r="378" spans="2:8">
      <c r="B378" s="463"/>
      <c r="C378" s="461"/>
      <c r="D378" s="461"/>
      <c r="E378" s="461"/>
      <c r="F378" s="461"/>
      <c r="G378" s="461"/>
      <c r="H378" s="461"/>
    </row>
    <row r="379" spans="2:8">
      <c r="B379" s="463"/>
      <c r="C379" s="461"/>
      <c r="D379" s="461"/>
      <c r="E379" s="461"/>
      <c r="F379" s="461"/>
      <c r="G379" s="461"/>
      <c r="H379" s="461"/>
    </row>
    <row r="380" spans="2:8">
      <c r="B380" s="463"/>
      <c r="C380" s="461"/>
      <c r="D380" s="461"/>
      <c r="E380" s="461"/>
      <c r="F380" s="461"/>
      <c r="G380" s="461"/>
      <c r="H380" s="461"/>
    </row>
    <row r="381" spans="2:8">
      <c r="B381" s="463"/>
      <c r="C381" s="461"/>
      <c r="D381" s="461"/>
      <c r="E381" s="461"/>
      <c r="F381" s="461"/>
      <c r="G381" s="461"/>
      <c r="H381" s="461"/>
    </row>
    <row r="382" spans="2:8">
      <c r="B382" s="463"/>
      <c r="C382" s="461"/>
      <c r="D382" s="461"/>
      <c r="E382" s="461"/>
      <c r="F382" s="461"/>
      <c r="G382" s="461"/>
      <c r="H382" s="461"/>
    </row>
    <row r="383" spans="2:8">
      <c r="B383" s="463"/>
      <c r="C383" s="461"/>
      <c r="D383" s="461"/>
      <c r="E383" s="461"/>
      <c r="F383" s="461"/>
      <c r="G383" s="461"/>
      <c r="H383" s="461"/>
    </row>
    <row r="384" spans="2:8">
      <c r="B384" s="463"/>
      <c r="C384" s="461"/>
      <c r="D384" s="461"/>
      <c r="E384" s="461"/>
      <c r="F384" s="461"/>
      <c r="G384" s="461"/>
      <c r="H384" s="461"/>
    </row>
    <row r="385" spans="2:8">
      <c r="B385" s="463"/>
      <c r="C385" s="461"/>
      <c r="D385" s="461"/>
      <c r="E385" s="461"/>
      <c r="F385" s="461"/>
      <c r="G385" s="461"/>
      <c r="H385" s="461"/>
    </row>
    <row r="386" spans="2:8">
      <c r="B386" s="463"/>
      <c r="C386" s="461"/>
      <c r="D386" s="461"/>
      <c r="E386" s="461"/>
      <c r="F386" s="461"/>
      <c r="G386" s="461"/>
      <c r="H386" s="461"/>
    </row>
    <row r="387" spans="2:8">
      <c r="B387" s="463"/>
      <c r="C387" s="461"/>
      <c r="D387" s="461"/>
      <c r="E387" s="461"/>
      <c r="F387" s="461"/>
      <c r="G387" s="461"/>
      <c r="H387" s="461"/>
    </row>
    <row r="388" spans="2:8">
      <c r="B388" s="463"/>
      <c r="C388" s="461"/>
      <c r="D388" s="461"/>
      <c r="E388" s="461"/>
      <c r="F388" s="461"/>
      <c r="G388" s="461"/>
      <c r="H388" s="461"/>
    </row>
    <row r="389" spans="2:8">
      <c r="B389" s="463"/>
      <c r="C389" s="461"/>
      <c r="D389" s="461"/>
      <c r="E389" s="461"/>
      <c r="F389" s="461"/>
      <c r="G389" s="461"/>
      <c r="H389" s="461"/>
    </row>
    <row r="390" spans="2:8">
      <c r="B390" s="463"/>
      <c r="C390" s="461"/>
      <c r="D390" s="461"/>
      <c r="E390" s="461"/>
      <c r="F390" s="461"/>
      <c r="G390" s="461"/>
      <c r="H390" s="461"/>
    </row>
    <row r="391" spans="2:8">
      <c r="B391" s="463"/>
      <c r="C391" s="461"/>
      <c r="D391" s="461"/>
      <c r="E391" s="461"/>
      <c r="F391" s="461"/>
      <c r="G391" s="461"/>
      <c r="H391" s="461"/>
    </row>
    <row r="392" spans="2:8">
      <c r="B392" s="463"/>
      <c r="C392" s="461"/>
      <c r="D392" s="461"/>
      <c r="E392" s="461"/>
      <c r="F392" s="461"/>
      <c r="G392" s="461"/>
      <c r="H392" s="461"/>
    </row>
    <row r="393" spans="2:8">
      <c r="B393" s="463"/>
      <c r="C393" s="461"/>
      <c r="D393" s="461"/>
      <c r="E393" s="461"/>
      <c r="F393" s="461"/>
      <c r="G393" s="461"/>
      <c r="H393" s="461"/>
    </row>
    <row r="394" spans="2:8">
      <c r="B394" s="463"/>
      <c r="C394" s="461"/>
      <c r="D394" s="461"/>
      <c r="E394" s="461"/>
      <c r="F394" s="461"/>
      <c r="G394" s="461"/>
      <c r="H394" s="461"/>
    </row>
    <row r="395" spans="2:8">
      <c r="B395" s="463"/>
      <c r="C395" s="461"/>
      <c r="D395" s="461"/>
      <c r="E395" s="461"/>
      <c r="F395" s="461"/>
      <c r="G395" s="461"/>
      <c r="H395" s="461"/>
    </row>
    <row r="396" spans="2:8">
      <c r="B396" s="463"/>
      <c r="C396" s="461"/>
      <c r="D396" s="461"/>
      <c r="E396" s="461"/>
      <c r="F396" s="461"/>
      <c r="G396" s="461"/>
      <c r="H396" s="461"/>
    </row>
    <row r="397" spans="2:8">
      <c r="B397" s="463"/>
      <c r="C397" s="461"/>
      <c r="D397" s="461"/>
      <c r="E397" s="461"/>
      <c r="F397" s="461"/>
      <c r="G397" s="461"/>
      <c r="H397" s="461"/>
    </row>
    <row r="398" spans="2:8">
      <c r="B398" s="463"/>
      <c r="C398" s="461"/>
      <c r="D398" s="461"/>
      <c r="E398" s="461"/>
      <c r="F398" s="461"/>
      <c r="G398" s="461"/>
      <c r="H398" s="461"/>
    </row>
    <row r="399" spans="2:8">
      <c r="B399" s="463"/>
      <c r="C399" s="461"/>
      <c r="D399" s="461"/>
      <c r="E399" s="461"/>
      <c r="F399" s="461"/>
      <c r="G399" s="461"/>
      <c r="H399" s="461"/>
    </row>
    <row r="400" spans="2:8">
      <c r="B400" s="463"/>
      <c r="C400" s="461"/>
      <c r="D400" s="461"/>
      <c r="E400" s="461"/>
      <c r="F400" s="461"/>
      <c r="G400" s="461"/>
      <c r="H400" s="461"/>
    </row>
    <row r="401" spans="2:8">
      <c r="B401" s="463"/>
      <c r="C401" s="461"/>
      <c r="D401" s="461"/>
      <c r="E401" s="461"/>
      <c r="F401" s="461"/>
      <c r="G401" s="461"/>
      <c r="H401" s="461"/>
    </row>
    <row r="402" spans="2:8">
      <c r="B402" s="463"/>
      <c r="C402" s="461"/>
      <c r="D402" s="461"/>
      <c r="E402" s="461"/>
      <c r="F402" s="461"/>
      <c r="G402" s="461"/>
      <c r="H402" s="461"/>
    </row>
    <row r="403" spans="2:8">
      <c r="B403" s="463"/>
      <c r="C403" s="461"/>
      <c r="D403" s="461"/>
      <c r="E403" s="461"/>
      <c r="F403" s="461"/>
      <c r="G403" s="461"/>
      <c r="H403" s="461"/>
    </row>
    <row r="404" spans="2:8">
      <c r="B404" s="463"/>
      <c r="C404" s="461"/>
      <c r="D404" s="461"/>
      <c r="E404" s="461"/>
      <c r="F404" s="461"/>
      <c r="G404" s="461"/>
      <c r="H404" s="461"/>
    </row>
    <row r="405" spans="2:8">
      <c r="B405" s="463"/>
      <c r="C405" s="461"/>
      <c r="D405" s="461"/>
      <c r="E405" s="461"/>
      <c r="F405" s="461"/>
      <c r="G405" s="461"/>
      <c r="H405" s="461"/>
    </row>
    <row r="406" spans="2:8">
      <c r="B406" s="463"/>
      <c r="C406" s="461"/>
      <c r="D406" s="461"/>
      <c r="E406" s="461"/>
      <c r="F406" s="461"/>
      <c r="G406" s="461"/>
      <c r="H406" s="461"/>
    </row>
    <row r="407" spans="2:8">
      <c r="B407" s="463"/>
      <c r="C407" s="461"/>
      <c r="D407" s="461"/>
      <c r="E407" s="461"/>
      <c r="F407" s="461"/>
      <c r="G407" s="461"/>
      <c r="H407" s="461"/>
    </row>
    <row r="408" spans="2:8">
      <c r="B408" s="463"/>
      <c r="C408" s="461"/>
      <c r="D408" s="461"/>
      <c r="E408" s="461"/>
      <c r="F408" s="461"/>
      <c r="G408" s="461"/>
      <c r="H408" s="461"/>
    </row>
    <row r="409" spans="2:8">
      <c r="B409" s="463"/>
      <c r="C409" s="461"/>
      <c r="D409" s="461"/>
      <c r="E409" s="461"/>
      <c r="F409" s="461"/>
      <c r="G409" s="461"/>
      <c r="H409" s="461"/>
    </row>
    <row r="410" spans="2:8">
      <c r="B410" s="463"/>
      <c r="C410" s="461"/>
      <c r="D410" s="461"/>
      <c r="E410" s="461"/>
      <c r="F410" s="461"/>
      <c r="G410" s="461"/>
      <c r="H410" s="461"/>
    </row>
    <row r="411" spans="2:8">
      <c r="B411" s="463"/>
      <c r="C411" s="461"/>
      <c r="D411" s="461"/>
      <c r="E411" s="461"/>
      <c r="F411" s="461"/>
      <c r="G411" s="461"/>
      <c r="H411" s="461"/>
    </row>
    <row r="412" spans="2:8">
      <c r="B412" s="463"/>
      <c r="C412" s="461"/>
      <c r="D412" s="461"/>
      <c r="E412" s="461"/>
      <c r="F412" s="461"/>
      <c r="G412" s="461"/>
      <c r="H412" s="461"/>
    </row>
    <row r="413" spans="2:8">
      <c r="B413" s="463"/>
      <c r="C413" s="461"/>
      <c r="D413" s="461"/>
      <c r="E413" s="461"/>
      <c r="F413" s="461"/>
      <c r="G413" s="461"/>
      <c r="H413" s="461"/>
    </row>
    <row r="414" spans="2:8">
      <c r="B414" s="463"/>
      <c r="C414" s="461"/>
      <c r="D414" s="461"/>
      <c r="E414" s="461"/>
      <c r="F414" s="461"/>
      <c r="G414" s="461"/>
      <c r="H414" s="461"/>
    </row>
    <row r="415" spans="2:8">
      <c r="B415" s="463"/>
      <c r="C415" s="461"/>
      <c r="D415" s="461"/>
      <c r="E415" s="461"/>
      <c r="F415" s="461"/>
      <c r="G415" s="461"/>
      <c r="H415" s="461"/>
    </row>
    <row r="416" spans="2:8">
      <c r="B416" s="463"/>
      <c r="C416" s="461"/>
      <c r="D416" s="461"/>
      <c r="E416" s="461"/>
      <c r="F416" s="461"/>
      <c r="G416" s="461"/>
      <c r="H416" s="461"/>
    </row>
    <row r="417" spans="2:8">
      <c r="B417" s="463"/>
      <c r="C417" s="461"/>
      <c r="D417" s="461"/>
      <c r="E417" s="461"/>
      <c r="F417" s="461"/>
      <c r="G417" s="461"/>
      <c r="H417" s="461"/>
    </row>
    <row r="418" spans="2:8">
      <c r="B418" s="463"/>
      <c r="C418" s="461"/>
      <c r="D418" s="461"/>
      <c r="E418" s="461"/>
      <c r="F418" s="461"/>
      <c r="G418" s="461"/>
      <c r="H418" s="461"/>
    </row>
    <row r="419" spans="2:8">
      <c r="B419" s="463"/>
      <c r="C419" s="461"/>
      <c r="D419" s="461"/>
      <c r="E419" s="461"/>
      <c r="F419" s="461"/>
      <c r="G419" s="461"/>
      <c r="H419" s="461"/>
    </row>
    <row r="420" spans="2:8">
      <c r="B420" s="463"/>
      <c r="C420" s="461"/>
      <c r="D420" s="461"/>
      <c r="E420" s="461"/>
      <c r="F420" s="461"/>
      <c r="G420" s="461"/>
      <c r="H420" s="461"/>
    </row>
    <row r="421" spans="2:8">
      <c r="B421" s="463"/>
      <c r="C421" s="461"/>
      <c r="D421" s="461"/>
      <c r="E421" s="461"/>
      <c r="F421" s="461"/>
      <c r="G421" s="461"/>
      <c r="H421" s="461"/>
    </row>
    <row r="422" spans="2:8">
      <c r="B422" s="463"/>
      <c r="C422" s="461"/>
      <c r="D422" s="461"/>
      <c r="E422" s="461"/>
      <c r="F422" s="461"/>
      <c r="G422" s="461"/>
      <c r="H422" s="461"/>
    </row>
    <row r="423" spans="2:8">
      <c r="B423" s="463"/>
      <c r="C423" s="461"/>
      <c r="D423" s="461"/>
      <c r="E423" s="461"/>
      <c r="F423" s="461"/>
      <c r="G423" s="461"/>
      <c r="H423" s="461"/>
    </row>
    <row r="424" spans="2:8">
      <c r="B424" s="463"/>
      <c r="C424" s="461"/>
      <c r="D424" s="461"/>
      <c r="E424" s="461"/>
      <c r="F424" s="461"/>
      <c r="G424" s="461"/>
      <c r="H424" s="461"/>
    </row>
    <row r="425" spans="2:8">
      <c r="B425" s="463"/>
      <c r="C425" s="461"/>
      <c r="D425" s="461"/>
      <c r="E425" s="461"/>
      <c r="F425" s="461"/>
      <c r="G425" s="461"/>
      <c r="H425" s="461"/>
    </row>
    <row r="426" spans="2:8">
      <c r="B426" s="463"/>
      <c r="C426" s="461"/>
      <c r="D426" s="461"/>
      <c r="E426" s="461"/>
      <c r="F426" s="461"/>
      <c r="G426" s="461"/>
      <c r="H426" s="461"/>
    </row>
    <row r="427" spans="2:8">
      <c r="B427" s="463"/>
      <c r="C427" s="461"/>
      <c r="D427" s="461"/>
      <c r="E427" s="461"/>
      <c r="F427" s="461"/>
      <c r="G427" s="461"/>
      <c r="H427" s="461"/>
    </row>
    <row r="428" spans="2:8">
      <c r="B428" s="463"/>
      <c r="C428" s="461"/>
      <c r="D428" s="461"/>
      <c r="E428" s="461"/>
      <c r="F428" s="461"/>
      <c r="G428" s="461"/>
      <c r="H428" s="461"/>
    </row>
    <row r="429" spans="2:8">
      <c r="B429" s="463"/>
      <c r="C429" s="461"/>
      <c r="D429" s="461"/>
      <c r="E429" s="461"/>
      <c r="F429" s="461"/>
      <c r="G429" s="461"/>
      <c r="H429" s="461"/>
    </row>
    <row r="430" spans="2:8">
      <c r="B430" s="463"/>
      <c r="C430" s="461"/>
      <c r="D430" s="461"/>
      <c r="E430" s="461"/>
      <c r="F430" s="461"/>
      <c r="G430" s="461"/>
      <c r="H430" s="461"/>
    </row>
    <row r="431" spans="2:8">
      <c r="B431" s="463"/>
      <c r="C431" s="461"/>
      <c r="D431" s="461"/>
      <c r="E431" s="461"/>
      <c r="F431" s="461"/>
      <c r="G431" s="461"/>
      <c r="H431" s="461"/>
    </row>
    <row r="432" spans="2:8">
      <c r="B432" s="463"/>
      <c r="C432" s="461"/>
      <c r="D432" s="461"/>
      <c r="E432" s="461"/>
      <c r="F432" s="461"/>
      <c r="G432" s="461"/>
      <c r="H432" s="461"/>
    </row>
    <row r="433" spans="2:8">
      <c r="B433" s="463"/>
      <c r="C433" s="461"/>
      <c r="D433" s="461"/>
      <c r="E433" s="461"/>
      <c r="F433" s="461"/>
      <c r="G433" s="461"/>
      <c r="H433" s="461"/>
    </row>
    <row r="434" spans="2:8">
      <c r="B434" s="463"/>
      <c r="C434" s="461"/>
      <c r="D434" s="461"/>
      <c r="E434" s="461"/>
      <c r="F434" s="461"/>
      <c r="G434" s="461"/>
      <c r="H434" s="461"/>
    </row>
    <row r="435" spans="2:8">
      <c r="B435" s="463"/>
      <c r="C435" s="461"/>
      <c r="D435" s="461"/>
      <c r="E435" s="461"/>
      <c r="F435" s="461"/>
      <c r="G435" s="461"/>
      <c r="H435" s="461"/>
    </row>
    <row r="436" spans="2:8">
      <c r="B436" s="463"/>
      <c r="C436" s="461"/>
      <c r="D436" s="461"/>
      <c r="E436" s="461"/>
      <c r="F436" s="461"/>
      <c r="G436" s="461"/>
      <c r="H436" s="461"/>
    </row>
    <row r="437" spans="2:8">
      <c r="B437" s="463"/>
      <c r="C437" s="461"/>
      <c r="D437" s="461"/>
      <c r="E437" s="461"/>
      <c r="F437" s="461"/>
      <c r="G437" s="461"/>
      <c r="H437" s="461"/>
    </row>
    <row r="438" spans="2:8">
      <c r="B438" s="463"/>
      <c r="C438" s="461"/>
      <c r="D438" s="461"/>
      <c r="E438" s="461"/>
      <c r="F438" s="461"/>
      <c r="G438" s="461"/>
      <c r="H438" s="461"/>
    </row>
    <row r="439" spans="2:8">
      <c r="B439" s="463"/>
      <c r="C439" s="461"/>
      <c r="D439" s="461"/>
      <c r="E439" s="461"/>
      <c r="F439" s="461"/>
      <c r="G439" s="461"/>
      <c r="H439" s="461"/>
    </row>
    <row r="440" spans="2:8">
      <c r="B440" s="463"/>
      <c r="C440" s="461"/>
      <c r="D440" s="461"/>
      <c r="E440" s="461"/>
      <c r="F440" s="461"/>
      <c r="G440" s="461"/>
      <c r="H440" s="461"/>
    </row>
    <row r="441" spans="2:8">
      <c r="B441" s="463"/>
      <c r="C441" s="461"/>
      <c r="D441" s="461"/>
      <c r="E441" s="461"/>
      <c r="F441" s="461"/>
      <c r="G441" s="461"/>
      <c r="H441" s="461"/>
    </row>
    <row r="442" spans="2:8">
      <c r="B442" s="463"/>
      <c r="C442" s="461"/>
      <c r="D442" s="461"/>
      <c r="E442" s="461"/>
      <c r="F442" s="461"/>
      <c r="G442" s="461"/>
      <c r="H442" s="461"/>
    </row>
    <row r="443" spans="2:8">
      <c r="B443" s="463"/>
      <c r="C443" s="461"/>
      <c r="D443" s="461"/>
      <c r="E443" s="461"/>
      <c r="F443" s="461"/>
      <c r="G443" s="461"/>
      <c r="H443" s="461"/>
    </row>
    <row r="444" spans="2:8">
      <c r="B444" s="463"/>
      <c r="C444" s="461"/>
      <c r="D444" s="461"/>
      <c r="E444" s="461"/>
      <c r="F444" s="461"/>
      <c r="G444" s="461"/>
      <c r="H444" s="461"/>
    </row>
    <row r="445" spans="2:8">
      <c r="B445" s="463"/>
      <c r="C445" s="461"/>
      <c r="D445" s="461"/>
      <c r="E445" s="461"/>
      <c r="F445" s="461"/>
      <c r="G445" s="461"/>
      <c r="H445" s="461"/>
    </row>
    <row r="446" spans="2:8">
      <c r="B446" s="463"/>
      <c r="C446" s="461"/>
      <c r="D446" s="461"/>
      <c r="E446" s="461"/>
      <c r="F446" s="461"/>
      <c r="G446" s="461"/>
      <c r="H446" s="461"/>
    </row>
    <row r="447" spans="2:8">
      <c r="B447" s="463"/>
      <c r="C447" s="461"/>
      <c r="D447" s="461"/>
      <c r="E447" s="461"/>
      <c r="F447" s="461"/>
      <c r="G447" s="461"/>
      <c r="H447" s="461"/>
    </row>
    <row r="448" spans="2:8">
      <c r="B448" s="463"/>
      <c r="C448" s="461"/>
      <c r="D448" s="461"/>
      <c r="E448" s="461"/>
      <c r="F448" s="461"/>
      <c r="G448" s="461"/>
      <c r="H448" s="461"/>
    </row>
    <row r="449" spans="2:8">
      <c r="B449" s="463"/>
      <c r="C449" s="461"/>
      <c r="D449" s="461"/>
      <c r="E449" s="461"/>
      <c r="F449" s="461"/>
      <c r="G449" s="461"/>
      <c r="H449" s="461"/>
    </row>
    <row r="450" spans="2:8">
      <c r="B450" s="463"/>
      <c r="C450" s="461"/>
      <c r="D450" s="461"/>
      <c r="E450" s="461"/>
      <c r="F450" s="461"/>
      <c r="G450" s="461"/>
      <c r="H450" s="461"/>
    </row>
    <row r="451" spans="2:8">
      <c r="B451" s="463"/>
      <c r="C451" s="461"/>
      <c r="D451" s="461"/>
      <c r="E451" s="461"/>
      <c r="F451" s="461"/>
      <c r="G451" s="461"/>
      <c r="H451" s="461"/>
    </row>
    <row r="452" spans="2:8">
      <c r="B452" s="463"/>
      <c r="C452" s="461"/>
      <c r="D452" s="461"/>
      <c r="E452" s="461"/>
      <c r="F452" s="461"/>
      <c r="G452" s="461"/>
      <c r="H452" s="461"/>
    </row>
    <row r="453" spans="2:8">
      <c r="B453" s="463"/>
      <c r="C453" s="461"/>
      <c r="D453" s="461"/>
      <c r="E453" s="461"/>
      <c r="F453" s="461"/>
      <c r="G453" s="461"/>
      <c r="H453" s="461"/>
    </row>
    <row r="454" spans="2:8">
      <c r="B454" s="463"/>
      <c r="C454" s="461"/>
      <c r="D454" s="461"/>
      <c r="E454" s="461"/>
      <c r="F454" s="461"/>
      <c r="G454" s="461"/>
      <c r="H454" s="461"/>
    </row>
    <row r="455" spans="2:8">
      <c r="B455" s="463"/>
      <c r="C455" s="461"/>
      <c r="D455" s="461"/>
      <c r="E455" s="461"/>
      <c r="F455" s="461"/>
      <c r="G455" s="461"/>
      <c r="H455" s="461"/>
    </row>
    <row r="456" spans="2:8">
      <c r="B456" s="463"/>
      <c r="C456" s="461"/>
      <c r="D456" s="461"/>
      <c r="E456" s="461"/>
      <c r="F456" s="461"/>
      <c r="G456" s="461"/>
      <c r="H456" s="461"/>
    </row>
    <row r="457" spans="2:8">
      <c r="B457" s="463"/>
      <c r="C457" s="461"/>
      <c r="D457" s="461"/>
      <c r="E457" s="461"/>
      <c r="F457" s="461"/>
      <c r="G457" s="461"/>
      <c r="H457" s="461"/>
    </row>
    <row r="458" spans="2:8">
      <c r="B458" s="463"/>
      <c r="C458" s="461"/>
      <c r="D458" s="461"/>
      <c r="E458" s="461"/>
      <c r="F458" s="461"/>
      <c r="G458" s="461"/>
      <c r="H458" s="461"/>
    </row>
    <row r="459" spans="2:8">
      <c r="B459" s="463"/>
      <c r="C459" s="461"/>
      <c r="D459" s="461"/>
      <c r="E459" s="461"/>
      <c r="F459" s="461"/>
      <c r="G459" s="461"/>
      <c r="H459" s="461"/>
    </row>
    <row r="460" spans="2:8">
      <c r="B460" s="463"/>
      <c r="C460" s="461"/>
      <c r="D460" s="461"/>
      <c r="E460" s="461"/>
      <c r="F460" s="461"/>
      <c r="G460" s="461"/>
      <c r="H460" s="461"/>
    </row>
    <row r="461" spans="2:8">
      <c r="B461" s="463"/>
      <c r="C461" s="461"/>
      <c r="D461" s="461"/>
      <c r="E461" s="461"/>
      <c r="F461" s="461"/>
      <c r="G461" s="461"/>
      <c r="H461" s="461"/>
    </row>
    <row r="462" spans="2:8">
      <c r="B462" s="463"/>
      <c r="C462" s="461"/>
      <c r="D462" s="461"/>
      <c r="E462" s="461"/>
      <c r="F462" s="461"/>
      <c r="G462" s="461"/>
      <c r="H462" s="461"/>
    </row>
    <row r="463" spans="2:8">
      <c r="B463" s="463"/>
      <c r="C463" s="461"/>
      <c r="D463" s="461"/>
      <c r="E463" s="461"/>
      <c r="F463" s="461"/>
      <c r="G463" s="461"/>
      <c r="H463" s="461"/>
    </row>
    <row r="464" spans="2:8">
      <c r="B464" s="463"/>
      <c r="C464" s="461"/>
      <c r="D464" s="461"/>
      <c r="E464" s="461"/>
      <c r="F464" s="461"/>
      <c r="G464" s="461"/>
      <c r="H464" s="461"/>
    </row>
    <row r="465" spans="2:8">
      <c r="B465" s="463"/>
      <c r="C465" s="461"/>
      <c r="D465" s="461"/>
      <c r="E465" s="461"/>
      <c r="F465" s="461"/>
      <c r="G465" s="461"/>
      <c r="H465" s="461"/>
    </row>
    <row r="466" spans="2:8">
      <c r="B466" s="463"/>
      <c r="C466" s="461"/>
      <c r="D466" s="461"/>
      <c r="E466" s="461"/>
      <c r="F466" s="461"/>
      <c r="G466" s="461"/>
      <c r="H466" s="461"/>
    </row>
    <row r="467" spans="2:8">
      <c r="B467" s="463"/>
      <c r="C467" s="461"/>
      <c r="D467" s="461"/>
      <c r="E467" s="461"/>
      <c r="F467" s="461"/>
      <c r="G467" s="461"/>
      <c r="H467" s="461"/>
    </row>
    <row r="468" spans="2:8">
      <c r="B468" s="463"/>
      <c r="C468" s="461"/>
      <c r="D468" s="461"/>
      <c r="E468" s="461"/>
      <c r="F468" s="461"/>
      <c r="G468" s="461"/>
      <c r="H468" s="461"/>
    </row>
    <row r="469" spans="2:8">
      <c r="B469" s="463"/>
      <c r="C469" s="461"/>
      <c r="D469" s="461"/>
      <c r="E469" s="461"/>
      <c r="F469" s="461"/>
      <c r="G469" s="461"/>
      <c r="H469" s="461"/>
    </row>
    <row r="470" spans="2:8">
      <c r="B470" s="463"/>
      <c r="C470" s="461"/>
      <c r="D470" s="461"/>
      <c r="E470" s="461"/>
      <c r="F470" s="461"/>
      <c r="G470" s="461"/>
      <c r="H470" s="461"/>
    </row>
    <row r="471" spans="2:8">
      <c r="B471" s="463"/>
      <c r="C471" s="461"/>
      <c r="D471" s="461"/>
      <c r="E471" s="461"/>
      <c r="F471" s="461"/>
      <c r="G471" s="461"/>
      <c r="H471" s="461"/>
    </row>
    <row r="472" spans="2:8">
      <c r="B472" s="463"/>
      <c r="C472" s="461"/>
      <c r="D472" s="461"/>
      <c r="E472" s="461"/>
      <c r="F472" s="461"/>
      <c r="G472" s="461"/>
      <c r="H472" s="461"/>
    </row>
    <row r="473" spans="2:8">
      <c r="B473" s="463"/>
      <c r="C473" s="461"/>
      <c r="D473" s="461"/>
      <c r="E473" s="461"/>
      <c r="F473" s="461"/>
      <c r="G473" s="461"/>
      <c r="H473" s="461"/>
    </row>
    <row r="474" spans="2:8">
      <c r="B474" s="463"/>
      <c r="C474" s="461"/>
      <c r="D474" s="461"/>
      <c r="E474" s="461"/>
      <c r="F474" s="461"/>
      <c r="G474" s="461"/>
      <c r="H474" s="461"/>
    </row>
    <row r="475" spans="2:8">
      <c r="B475" s="463"/>
      <c r="C475" s="461"/>
      <c r="D475" s="461"/>
      <c r="E475" s="461"/>
      <c r="F475" s="461"/>
      <c r="G475" s="461"/>
      <c r="H475" s="461"/>
    </row>
    <row r="476" spans="2:8">
      <c r="B476" s="463"/>
      <c r="C476" s="461"/>
      <c r="D476" s="461"/>
      <c r="E476" s="461"/>
      <c r="F476" s="461"/>
      <c r="G476" s="461"/>
      <c r="H476" s="461"/>
    </row>
    <row r="477" spans="2:8">
      <c r="B477" s="463"/>
      <c r="C477" s="461"/>
      <c r="D477" s="461"/>
      <c r="E477" s="461"/>
      <c r="F477" s="461"/>
      <c r="G477" s="461"/>
      <c r="H477" s="461"/>
    </row>
    <row r="478" spans="2:8">
      <c r="B478" s="463"/>
      <c r="C478" s="461"/>
      <c r="D478" s="461"/>
      <c r="E478" s="461"/>
      <c r="F478" s="461"/>
      <c r="G478" s="461"/>
      <c r="H478" s="461"/>
    </row>
    <row r="479" spans="2:8">
      <c r="B479" s="463"/>
      <c r="C479" s="461"/>
      <c r="D479" s="461"/>
      <c r="E479" s="461"/>
      <c r="F479" s="461"/>
      <c r="G479" s="461"/>
      <c r="H479" s="461"/>
    </row>
    <row r="480" spans="2:8">
      <c r="B480" s="463"/>
      <c r="C480" s="461"/>
      <c r="D480" s="461"/>
      <c r="E480" s="461"/>
      <c r="F480" s="461"/>
      <c r="G480" s="461"/>
      <c r="H480" s="461"/>
    </row>
    <row r="481" spans="2:8">
      <c r="B481" s="463"/>
      <c r="C481" s="461"/>
      <c r="D481" s="461"/>
      <c r="E481" s="461"/>
      <c r="F481" s="461"/>
      <c r="G481" s="461"/>
      <c r="H481" s="461"/>
    </row>
    <row r="482" spans="2:8">
      <c r="B482" s="463"/>
      <c r="C482" s="461"/>
      <c r="D482" s="461"/>
      <c r="E482" s="461"/>
      <c r="F482" s="461"/>
      <c r="G482" s="461"/>
      <c r="H482" s="461"/>
    </row>
    <row r="483" spans="2:8">
      <c r="B483" s="463"/>
      <c r="C483" s="461"/>
      <c r="D483" s="461"/>
      <c r="E483" s="461"/>
      <c r="F483" s="461"/>
      <c r="G483" s="461"/>
      <c r="H483" s="461"/>
    </row>
    <row r="484" spans="2:8">
      <c r="B484" s="463"/>
      <c r="C484" s="461"/>
      <c r="D484" s="461"/>
      <c r="E484" s="461"/>
      <c r="F484" s="461"/>
      <c r="G484" s="461"/>
      <c r="H484" s="461"/>
    </row>
    <row r="485" spans="2:8">
      <c r="B485" s="463"/>
      <c r="C485" s="461"/>
      <c r="D485" s="461"/>
      <c r="E485" s="461"/>
      <c r="F485" s="461"/>
      <c r="G485" s="461"/>
      <c r="H485" s="461"/>
    </row>
    <row r="486" spans="2:8">
      <c r="B486" s="463"/>
      <c r="C486" s="461"/>
      <c r="D486" s="461"/>
      <c r="E486" s="461"/>
      <c r="F486" s="461"/>
      <c r="G486" s="461"/>
      <c r="H486" s="461"/>
    </row>
    <row r="487" spans="2:8">
      <c r="B487" s="463"/>
      <c r="C487" s="461"/>
      <c r="D487" s="461"/>
      <c r="E487" s="461"/>
      <c r="F487" s="461"/>
      <c r="G487" s="461"/>
      <c r="H487" s="461"/>
    </row>
    <row r="488" spans="2:8">
      <c r="B488" s="463"/>
      <c r="C488" s="461"/>
      <c r="D488" s="461"/>
      <c r="E488" s="461"/>
      <c r="F488" s="461"/>
      <c r="G488" s="461"/>
      <c r="H488" s="461"/>
    </row>
    <row r="489" spans="2:8">
      <c r="B489" s="463"/>
      <c r="C489" s="461"/>
      <c r="D489" s="461"/>
      <c r="E489" s="461"/>
      <c r="F489" s="461"/>
      <c r="G489" s="461"/>
      <c r="H489" s="461"/>
    </row>
    <row r="490" spans="2:8">
      <c r="B490" s="463"/>
      <c r="C490" s="461"/>
      <c r="D490" s="461"/>
      <c r="E490" s="461"/>
      <c r="F490" s="461"/>
      <c r="G490" s="461"/>
      <c r="H490" s="461"/>
    </row>
    <row r="491" spans="2:8">
      <c r="B491" s="463"/>
      <c r="C491" s="461"/>
      <c r="D491" s="461"/>
      <c r="E491" s="461"/>
      <c r="F491" s="461"/>
      <c r="G491" s="461"/>
      <c r="H491" s="461"/>
    </row>
    <row r="492" spans="2:8">
      <c r="B492" s="463"/>
      <c r="C492" s="461"/>
      <c r="D492" s="461"/>
      <c r="E492" s="461"/>
      <c r="F492" s="461"/>
      <c r="G492" s="461"/>
      <c r="H492" s="461"/>
    </row>
    <row r="493" spans="2:8">
      <c r="B493" s="463"/>
      <c r="C493" s="461"/>
      <c r="D493" s="461"/>
      <c r="E493" s="461"/>
      <c r="F493" s="461"/>
      <c r="G493" s="461"/>
      <c r="H493" s="461"/>
    </row>
    <row r="494" spans="2:8">
      <c r="B494" s="463"/>
      <c r="C494" s="461"/>
      <c r="D494" s="461"/>
      <c r="E494" s="461"/>
      <c r="F494" s="461"/>
      <c r="G494" s="461"/>
      <c r="H494" s="461"/>
    </row>
    <row r="495" spans="2:8">
      <c r="B495" s="463"/>
      <c r="C495" s="461"/>
      <c r="D495" s="461"/>
      <c r="E495" s="461"/>
      <c r="F495" s="461"/>
      <c r="G495" s="461"/>
      <c r="H495" s="461"/>
    </row>
    <row r="496" spans="2:8">
      <c r="B496" s="463"/>
      <c r="C496" s="461"/>
      <c r="D496" s="461"/>
      <c r="E496" s="461"/>
      <c r="F496" s="461"/>
      <c r="G496" s="461"/>
      <c r="H496" s="461"/>
    </row>
    <row r="497" spans="2:8">
      <c r="B497" s="463"/>
      <c r="C497" s="461"/>
      <c r="D497" s="461"/>
      <c r="E497" s="461"/>
      <c r="F497" s="461"/>
      <c r="G497" s="461"/>
      <c r="H497" s="461"/>
    </row>
    <row r="498" spans="2:8">
      <c r="B498" s="463"/>
      <c r="C498" s="461"/>
      <c r="D498" s="461"/>
      <c r="E498" s="461"/>
      <c r="F498" s="461"/>
      <c r="G498" s="461"/>
      <c r="H498" s="461"/>
    </row>
    <row r="499" spans="2:8">
      <c r="B499" s="463"/>
      <c r="C499" s="461"/>
      <c r="D499" s="461"/>
      <c r="E499" s="461"/>
      <c r="F499" s="461"/>
      <c r="G499" s="461"/>
      <c r="H499" s="461"/>
    </row>
    <row r="500" spans="2:8">
      <c r="B500" s="463"/>
      <c r="C500" s="461"/>
      <c r="D500" s="461"/>
      <c r="E500" s="461"/>
      <c r="F500" s="461"/>
      <c r="G500" s="461"/>
      <c r="H500" s="461"/>
    </row>
    <row r="501" spans="2:8">
      <c r="B501" s="463"/>
      <c r="C501" s="461"/>
      <c r="D501" s="461"/>
      <c r="E501" s="461"/>
      <c r="F501" s="461"/>
      <c r="G501" s="461"/>
      <c r="H501" s="461"/>
    </row>
    <row r="502" spans="2:8">
      <c r="B502" s="463"/>
      <c r="C502" s="461"/>
      <c r="D502" s="461"/>
      <c r="E502" s="461"/>
      <c r="F502" s="461"/>
      <c r="G502" s="461"/>
      <c r="H502" s="461"/>
    </row>
    <row r="503" spans="2:8">
      <c r="B503" s="463"/>
      <c r="C503" s="461"/>
      <c r="D503" s="461"/>
      <c r="E503" s="461"/>
      <c r="F503" s="461"/>
      <c r="G503" s="461"/>
      <c r="H503" s="461"/>
    </row>
    <row r="504" spans="2:8">
      <c r="B504" s="463"/>
      <c r="C504" s="461"/>
      <c r="D504" s="461"/>
      <c r="E504" s="461"/>
      <c r="F504" s="461"/>
      <c r="G504" s="461"/>
      <c r="H504" s="461"/>
    </row>
    <row r="505" spans="2:8">
      <c r="B505" s="463"/>
      <c r="C505" s="461"/>
      <c r="D505" s="461"/>
      <c r="E505" s="461"/>
      <c r="F505" s="461"/>
      <c r="G505" s="461"/>
      <c r="H505" s="461"/>
    </row>
    <row r="506" spans="2:8">
      <c r="B506" s="463"/>
      <c r="C506" s="461"/>
      <c r="D506" s="461"/>
      <c r="E506" s="461"/>
      <c r="F506" s="461"/>
      <c r="G506" s="461"/>
      <c r="H506" s="461"/>
    </row>
    <row r="507" spans="2:8">
      <c r="B507" s="463"/>
      <c r="C507" s="461"/>
      <c r="D507" s="461"/>
      <c r="E507" s="461"/>
      <c r="F507" s="461"/>
      <c r="G507" s="461"/>
      <c r="H507" s="461"/>
    </row>
    <row r="508" spans="2:8">
      <c r="B508" s="463"/>
      <c r="C508" s="461"/>
      <c r="D508" s="461"/>
      <c r="E508" s="461"/>
      <c r="F508" s="461"/>
      <c r="G508" s="461"/>
      <c r="H508" s="461"/>
    </row>
    <row r="509" spans="2:8">
      <c r="B509" s="463"/>
      <c r="C509" s="461"/>
      <c r="D509" s="461"/>
      <c r="E509" s="461"/>
      <c r="F509" s="461"/>
      <c r="G509" s="461"/>
      <c r="H509" s="461"/>
    </row>
    <row r="510" spans="2:8">
      <c r="B510" s="463"/>
      <c r="C510" s="461"/>
      <c r="D510" s="461"/>
      <c r="E510" s="461"/>
      <c r="F510" s="461"/>
      <c r="G510" s="461"/>
      <c r="H510" s="461"/>
    </row>
    <row r="511" spans="2:8">
      <c r="B511" s="463"/>
      <c r="C511" s="461"/>
      <c r="D511" s="461"/>
      <c r="E511" s="461"/>
      <c r="F511" s="461"/>
      <c r="G511" s="461"/>
      <c r="H511" s="461"/>
    </row>
    <row r="512" spans="2:8">
      <c r="B512" s="463"/>
      <c r="C512" s="461"/>
      <c r="D512" s="461"/>
      <c r="E512" s="461"/>
      <c r="F512" s="461"/>
      <c r="G512" s="461"/>
      <c r="H512" s="461"/>
    </row>
    <row r="513" spans="2:8">
      <c r="B513" s="463"/>
      <c r="C513" s="461"/>
      <c r="D513" s="461"/>
      <c r="E513" s="461"/>
      <c r="F513" s="461"/>
      <c r="G513" s="461"/>
      <c r="H513" s="461"/>
    </row>
    <row r="514" spans="2:8">
      <c r="B514" s="463"/>
      <c r="C514" s="461"/>
      <c r="D514" s="461"/>
      <c r="E514" s="461"/>
      <c r="F514" s="461"/>
      <c r="G514" s="461"/>
      <c r="H514" s="461"/>
    </row>
    <row r="515" spans="2:8">
      <c r="B515" s="463"/>
      <c r="C515" s="461"/>
      <c r="D515" s="461"/>
      <c r="E515" s="461"/>
      <c r="F515" s="461"/>
      <c r="G515" s="461"/>
      <c r="H515" s="461"/>
    </row>
    <row r="516" spans="2:8">
      <c r="B516" s="463"/>
      <c r="C516" s="461"/>
      <c r="D516" s="461"/>
      <c r="E516" s="461"/>
      <c r="F516" s="461"/>
      <c r="G516" s="461"/>
      <c r="H516" s="461"/>
    </row>
    <row r="517" spans="2:8">
      <c r="B517" s="463"/>
      <c r="C517" s="461"/>
      <c r="D517" s="461"/>
      <c r="E517" s="461"/>
      <c r="F517" s="461"/>
      <c r="G517" s="461"/>
      <c r="H517" s="461"/>
    </row>
    <row r="518" spans="2:8">
      <c r="B518" s="463"/>
      <c r="C518" s="461"/>
      <c r="D518" s="461"/>
      <c r="E518" s="461"/>
      <c r="F518" s="461"/>
      <c r="G518" s="461"/>
      <c r="H518" s="461"/>
    </row>
    <row r="519" spans="2:8">
      <c r="B519" s="463"/>
      <c r="C519" s="461"/>
      <c r="D519" s="461"/>
      <c r="E519" s="461"/>
      <c r="F519" s="461"/>
      <c r="G519" s="461"/>
      <c r="H519" s="461"/>
    </row>
    <row r="520" spans="2:8">
      <c r="B520" s="463"/>
      <c r="C520" s="461"/>
      <c r="D520" s="461"/>
      <c r="E520" s="461"/>
      <c r="F520" s="461"/>
      <c r="G520" s="461"/>
      <c r="H520" s="461"/>
    </row>
    <row r="521" spans="2:8">
      <c r="B521" s="463"/>
      <c r="C521" s="461"/>
      <c r="D521" s="461"/>
      <c r="E521" s="461"/>
      <c r="F521" s="461"/>
      <c r="G521" s="461"/>
      <c r="H521" s="461"/>
    </row>
  </sheetData>
  <mergeCells count="16">
    <mergeCell ref="B105:H105"/>
    <mergeCell ref="B75:H75"/>
    <mergeCell ref="B76:H76"/>
    <mergeCell ref="B77:H77"/>
    <mergeCell ref="B98:G98"/>
    <mergeCell ref="B102:G102"/>
    <mergeCell ref="B74:G74"/>
    <mergeCell ref="B45:G45"/>
    <mergeCell ref="B47:H47"/>
    <mergeCell ref="B48:H48"/>
    <mergeCell ref="B49:H49"/>
    <mergeCell ref="B1:H1"/>
    <mergeCell ref="B2:H2"/>
    <mergeCell ref="B3:H3"/>
    <mergeCell ref="B41:G41"/>
    <mergeCell ref="B70:G70"/>
  </mergeCells>
  <phoneticPr fontId="60" type="noConversion"/>
  <printOptions horizontalCentered="1"/>
  <pageMargins left="0.5" right="0.5" top="0.71" bottom="0.5" header="0.33" footer="0.5"/>
  <pageSetup scale="37" fitToHeight="4" orientation="landscape" r:id="rId1"/>
  <headerFooter alignWithMargins="0"/>
  <rowBreaks count="2" manualBreakCount="2">
    <brk id="46" max="7" man="1"/>
    <brk id="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U521"/>
  <sheetViews>
    <sheetView view="pageBreakPreview" topLeftCell="A89" zoomScale="60" zoomScaleNormal="100" workbookViewId="0">
      <selection activeCell="D10" sqref="D10"/>
    </sheetView>
  </sheetViews>
  <sheetFormatPr defaultColWidth="8.77734375" defaultRowHeight="15"/>
  <cols>
    <col min="1" max="1" width="8.77734375" style="455"/>
    <col min="2" max="2" width="51.44140625" style="464" customWidth="1"/>
    <col min="3" max="3" width="22.109375" style="455" customWidth="1"/>
    <col min="4" max="4" width="21.5546875" style="455" customWidth="1"/>
    <col min="5" max="5" width="20.77734375" style="455" customWidth="1"/>
    <col min="6" max="6" width="16.77734375" style="455" customWidth="1"/>
    <col min="7" max="7" width="20.44140625" style="455" customWidth="1"/>
    <col min="8" max="8" width="114.77734375" style="455" bestFit="1" customWidth="1"/>
    <col min="9" max="16384" width="8.77734375" style="455"/>
  </cols>
  <sheetData>
    <row r="1" spans="1:21" ht="18">
      <c r="B1" s="1594" t="str">
        <f>+'Appendix III'!E8</f>
        <v>MidAmerican Central California Transco, LLC</v>
      </c>
      <c r="C1" s="1595"/>
      <c r="D1" s="1595"/>
      <c r="E1" s="1595"/>
      <c r="F1" s="1595"/>
      <c r="G1" s="1595"/>
      <c r="H1" s="1595"/>
      <c r="I1" s="454"/>
      <c r="J1" s="454"/>
    </row>
    <row r="2" spans="1:21" ht="18">
      <c r="B2" s="1594" t="s">
        <v>360</v>
      </c>
      <c r="C2" s="1594"/>
      <c r="D2" s="1594"/>
      <c r="E2" s="1594"/>
      <c r="F2" s="1594"/>
      <c r="G2" s="1594"/>
      <c r="H2" s="1594"/>
      <c r="I2" s="454"/>
      <c r="J2" s="454"/>
    </row>
    <row r="3" spans="1:21" ht="18">
      <c r="B3" s="1599" t="s">
        <v>140</v>
      </c>
      <c r="C3" s="1599"/>
      <c r="D3" s="1599"/>
      <c r="E3" s="1599"/>
      <c r="F3" s="1599"/>
      <c r="G3" s="1599"/>
      <c r="H3" s="1599"/>
      <c r="I3" s="454"/>
      <c r="J3" s="454"/>
    </row>
    <row r="4" spans="1:21" ht="18">
      <c r="B4" s="499"/>
      <c r="C4" s="499"/>
      <c r="D4" s="499"/>
      <c r="E4" s="499"/>
      <c r="F4" s="499"/>
      <c r="G4" s="499"/>
      <c r="H4" s="499"/>
      <c r="I4" s="454"/>
      <c r="J4" s="454"/>
    </row>
    <row r="5" spans="1:21" ht="18">
      <c r="B5" s="465"/>
      <c r="C5" s="466"/>
      <c r="D5" s="499"/>
      <c r="E5" s="499"/>
      <c r="F5" s="466"/>
      <c r="G5" s="500"/>
      <c r="H5" s="466"/>
    </row>
    <row r="6" spans="1:21" ht="15.75">
      <c r="B6" s="465"/>
      <c r="C6" s="466"/>
      <c r="D6" s="500" t="s">
        <v>26</v>
      </c>
      <c r="E6" s="500" t="s">
        <v>331</v>
      </c>
      <c r="F6" s="500" t="s">
        <v>326</v>
      </c>
      <c r="G6" s="500" t="s">
        <v>21</v>
      </c>
      <c r="H6" s="466"/>
      <c r="I6" s="456"/>
      <c r="J6" s="457"/>
      <c r="K6" s="457"/>
      <c r="L6" s="457"/>
      <c r="M6" s="457"/>
      <c r="N6" s="457"/>
      <c r="O6" s="457"/>
      <c r="P6" s="457"/>
      <c r="Q6" s="457"/>
      <c r="R6" s="457"/>
      <c r="S6" s="457"/>
      <c r="T6" s="457"/>
      <c r="U6" s="458"/>
    </row>
    <row r="7" spans="1:21" ht="15.75">
      <c r="A7" s="467" t="s">
        <v>661</v>
      </c>
      <c r="C7" s="466"/>
      <c r="D7" s="500" t="s">
        <v>332</v>
      </c>
      <c r="E7" s="500" t="s">
        <v>332</v>
      </c>
      <c r="F7" s="500" t="s">
        <v>332</v>
      </c>
      <c r="G7" s="500" t="s">
        <v>2</v>
      </c>
      <c r="H7" s="466"/>
      <c r="J7" s="457"/>
      <c r="K7" s="457"/>
      <c r="L7" s="457"/>
      <c r="M7" s="457"/>
      <c r="N7" s="457"/>
      <c r="O7" s="457"/>
      <c r="P7" s="457"/>
      <c r="Q7" s="457"/>
      <c r="R7" s="457"/>
      <c r="S7" s="457"/>
      <c r="T7" s="457"/>
      <c r="U7" s="458"/>
    </row>
    <row r="8" spans="1:21" ht="15.75">
      <c r="A8" s="467"/>
      <c r="C8" s="466"/>
      <c r="D8" s="466"/>
      <c r="E8" s="466"/>
      <c r="F8" s="466"/>
      <c r="G8" s="466"/>
      <c r="H8" s="466"/>
    </row>
    <row r="9" spans="1:21" ht="15.75">
      <c r="A9" s="467">
        <v>1</v>
      </c>
      <c r="C9" s="466" t="s">
        <v>333</v>
      </c>
      <c r="D9" s="644">
        <f>+E67</f>
        <v>0</v>
      </c>
      <c r="E9" s="644">
        <f>+F67</f>
        <v>0</v>
      </c>
      <c r="F9" s="644">
        <f>+G67</f>
        <v>0</v>
      </c>
      <c r="G9" s="644"/>
      <c r="H9" s="466" t="s">
        <v>334</v>
      </c>
    </row>
    <row r="10" spans="1:21" ht="15.75">
      <c r="A10" s="467">
        <f>+A9+1</f>
        <v>2</v>
      </c>
      <c r="C10" s="466" t="s">
        <v>335</v>
      </c>
      <c r="D10" s="442">
        <f>+E96</f>
        <v>-2041001</v>
      </c>
      <c r="E10" s="644">
        <f>+F96</f>
        <v>0</v>
      </c>
      <c r="F10" s="644">
        <f>+G96</f>
        <v>0</v>
      </c>
      <c r="G10" s="644"/>
      <c r="H10" s="466" t="s">
        <v>336</v>
      </c>
    </row>
    <row r="11" spans="1:21" ht="15.75">
      <c r="A11" s="467">
        <f t="shared" ref="A11:A74" si="0">+A10+1</f>
        <v>3</v>
      </c>
      <c r="C11" s="466" t="s">
        <v>337</v>
      </c>
      <c r="D11" s="644">
        <f>E39</f>
        <v>0</v>
      </c>
      <c r="E11" s="644">
        <f>F39</f>
        <v>0</v>
      </c>
      <c r="F11" s="644">
        <f>G39</f>
        <v>0</v>
      </c>
      <c r="G11" s="644"/>
      <c r="H11" s="466" t="s">
        <v>338</v>
      </c>
    </row>
    <row r="12" spans="1:21" ht="15.75">
      <c r="A12" s="467">
        <f t="shared" si="0"/>
        <v>4</v>
      </c>
      <c r="C12" s="466" t="s">
        <v>339</v>
      </c>
      <c r="D12" s="442">
        <f>SUM(D9:D11)</f>
        <v>-2041001</v>
      </c>
      <c r="E12" s="644">
        <f>SUM(E9:E11)</f>
        <v>0</v>
      </c>
      <c r="F12" s="644">
        <f>SUM(F9:F11)</f>
        <v>0</v>
      </c>
      <c r="G12" s="644"/>
      <c r="H12" s="468"/>
    </row>
    <row r="13" spans="1:21" ht="18">
      <c r="A13" s="467">
        <f t="shared" si="0"/>
        <v>5</v>
      </c>
      <c r="C13" s="466" t="s">
        <v>340</v>
      </c>
      <c r="D13" s="644"/>
      <c r="E13" s="644"/>
      <c r="F13" s="644">
        <f>+'Appendix III'!J196</f>
        <v>1</v>
      </c>
      <c r="G13" s="644"/>
      <c r="H13" s="519" t="s">
        <v>1035</v>
      </c>
    </row>
    <row r="14" spans="1:21" ht="18">
      <c r="A14" s="467">
        <f t="shared" si="0"/>
        <v>6</v>
      </c>
      <c r="C14" s="466" t="s">
        <v>38</v>
      </c>
      <c r="D14" s="644"/>
      <c r="E14" s="644">
        <f>+'Appendix III'!H70</f>
        <v>1</v>
      </c>
      <c r="F14" s="644"/>
      <c r="G14" s="644"/>
      <c r="H14" s="519" t="s">
        <v>1036</v>
      </c>
    </row>
    <row r="15" spans="1:21" ht="15.75">
      <c r="A15" s="467">
        <f t="shared" si="0"/>
        <v>7</v>
      </c>
      <c r="C15" s="466" t="s">
        <v>341</v>
      </c>
      <c r="D15" s="442">
        <f>+D12</f>
        <v>-2041001</v>
      </c>
      <c r="E15" s="644">
        <f>+E12*E14</f>
        <v>0</v>
      </c>
      <c r="F15" s="644">
        <f>+F13*F12</f>
        <v>0</v>
      </c>
      <c r="G15" s="442">
        <f>+D15+E15+F15</f>
        <v>-2041001</v>
      </c>
      <c r="H15" s="469" t="s">
        <v>950</v>
      </c>
    </row>
    <row r="16" spans="1:21" ht="15.75">
      <c r="A16" s="467">
        <f t="shared" si="0"/>
        <v>8</v>
      </c>
      <c r="B16" s="465"/>
      <c r="C16" s="466"/>
      <c r="D16" s="468"/>
      <c r="E16" s="468"/>
      <c r="F16" s="468"/>
      <c r="G16" s="468"/>
      <c r="H16" s="469"/>
    </row>
    <row r="17" spans="1:9" s="456" customFormat="1" ht="15.75">
      <c r="A17" s="467">
        <f t="shared" si="0"/>
        <v>9</v>
      </c>
      <c r="B17" s="466"/>
      <c r="C17" s="466"/>
      <c r="D17" s="466"/>
      <c r="E17" s="466"/>
      <c r="F17" s="466"/>
      <c r="G17" s="466"/>
      <c r="H17" s="468"/>
    </row>
    <row r="18" spans="1:9" s="456" customFormat="1" ht="15.75">
      <c r="A18" s="467">
        <f t="shared" si="0"/>
        <v>10</v>
      </c>
      <c r="B18" s="466"/>
      <c r="C18" s="466"/>
      <c r="D18" s="468"/>
      <c r="E18" s="466"/>
      <c r="F18" s="466"/>
      <c r="G18" s="466"/>
      <c r="H18" s="442"/>
    </row>
    <row r="19" spans="1:9" ht="15.75">
      <c r="A19" s="467">
        <f t="shared" si="0"/>
        <v>11</v>
      </c>
      <c r="B19" s="466"/>
      <c r="C19" s="466"/>
      <c r="D19" s="466"/>
      <c r="E19" s="466"/>
      <c r="F19" s="466"/>
      <c r="G19" s="466"/>
      <c r="H19" s="470"/>
    </row>
    <row r="20" spans="1:9" ht="15.75">
      <c r="A20" s="467">
        <f t="shared" si="0"/>
        <v>12</v>
      </c>
      <c r="B20" s="465" t="s">
        <v>342</v>
      </c>
      <c r="C20" s="466"/>
      <c r="D20" s="466"/>
      <c r="E20" s="466"/>
      <c r="F20" s="466"/>
      <c r="G20" s="466"/>
      <c r="H20" s="466"/>
    </row>
    <row r="21" spans="1:9" ht="15.75">
      <c r="A21" s="467">
        <f t="shared" si="0"/>
        <v>13</v>
      </c>
      <c r="B21" s="465" t="s">
        <v>501</v>
      </c>
      <c r="C21" s="466"/>
      <c r="D21" s="466"/>
      <c r="E21" s="466"/>
      <c r="F21" s="466"/>
      <c r="G21" s="466"/>
      <c r="H21" s="466"/>
    </row>
    <row r="22" spans="1:9" ht="15.75">
      <c r="A22" s="467">
        <f t="shared" si="0"/>
        <v>14</v>
      </c>
      <c r="B22" s="500" t="s">
        <v>77</v>
      </c>
      <c r="C22" s="500" t="s">
        <v>78</v>
      </c>
      <c r="D22" s="500" t="s">
        <v>79</v>
      </c>
      <c r="E22" s="500" t="s">
        <v>80</v>
      </c>
      <c r="F22" s="500" t="s">
        <v>81</v>
      </c>
      <c r="G22" s="500" t="s">
        <v>82</v>
      </c>
      <c r="H22" s="500" t="s">
        <v>84</v>
      </c>
    </row>
    <row r="23" spans="1:9" ht="18">
      <c r="A23" s="467">
        <f t="shared" si="0"/>
        <v>15</v>
      </c>
      <c r="B23" s="465"/>
      <c r="C23" s="500" t="s">
        <v>21</v>
      </c>
      <c r="D23" s="500" t="s">
        <v>343</v>
      </c>
      <c r="E23" s="499"/>
      <c r="F23" s="499"/>
      <c r="G23" s="499"/>
      <c r="H23" s="466"/>
    </row>
    <row r="24" spans="1:9" ht="15.75">
      <c r="A24" s="467">
        <f t="shared" si="0"/>
        <v>16</v>
      </c>
      <c r="B24" s="465" t="s">
        <v>337</v>
      </c>
      <c r="C24" s="500"/>
      <c r="D24" s="500" t="s">
        <v>344</v>
      </c>
      <c r="E24" s="500" t="s">
        <v>26</v>
      </c>
      <c r="F24" s="500" t="s">
        <v>331</v>
      </c>
      <c r="G24" s="500" t="s">
        <v>326</v>
      </c>
      <c r="H24" s="466"/>
    </row>
    <row r="25" spans="1:9" ht="15.75">
      <c r="A25" s="467">
        <f t="shared" si="0"/>
        <v>17</v>
      </c>
      <c r="B25" s="465"/>
      <c r="C25" s="500"/>
      <c r="D25" s="500" t="s">
        <v>332</v>
      </c>
      <c r="E25" s="500" t="s">
        <v>332</v>
      </c>
      <c r="F25" s="500" t="s">
        <v>332</v>
      </c>
      <c r="G25" s="500" t="s">
        <v>332</v>
      </c>
      <c r="H25" s="500" t="s">
        <v>345</v>
      </c>
    </row>
    <row r="26" spans="1:9" ht="35.1" hidden="1" customHeight="1">
      <c r="A26" s="467">
        <f t="shared" si="0"/>
        <v>18</v>
      </c>
      <c r="B26" s="471"/>
      <c r="C26" s="472"/>
      <c r="D26" s="473"/>
      <c r="E26" s="473"/>
      <c r="F26" s="473"/>
      <c r="G26" s="473"/>
      <c r="H26" s="474"/>
      <c r="I26" s="459"/>
    </row>
    <row r="27" spans="1:9" ht="35.1" hidden="1" customHeight="1">
      <c r="A27" s="467">
        <f t="shared" si="0"/>
        <v>19</v>
      </c>
      <c r="B27" s="475"/>
      <c r="C27" s="472"/>
      <c r="D27" s="473"/>
      <c r="E27" s="473"/>
      <c r="F27" s="473"/>
      <c r="G27" s="473"/>
      <c r="H27" s="474"/>
      <c r="I27" s="459"/>
    </row>
    <row r="28" spans="1:9" ht="35.1" hidden="1" customHeight="1">
      <c r="A28" s="467">
        <f t="shared" si="0"/>
        <v>20</v>
      </c>
      <c r="B28" s="475"/>
      <c r="C28" s="472"/>
      <c r="D28" s="473"/>
      <c r="E28" s="473"/>
      <c r="F28" s="473"/>
      <c r="G28" s="473"/>
      <c r="H28" s="474"/>
      <c r="I28" s="459"/>
    </row>
    <row r="29" spans="1:9" ht="35.1" hidden="1" customHeight="1">
      <c r="A29" s="467">
        <f t="shared" si="0"/>
        <v>21</v>
      </c>
      <c r="B29" s="475"/>
      <c r="C29" s="472"/>
      <c r="D29" s="473"/>
      <c r="E29" s="473"/>
      <c r="F29" s="473"/>
      <c r="G29" s="473"/>
      <c r="H29" s="474"/>
      <c r="I29" s="459"/>
    </row>
    <row r="30" spans="1:9" ht="35.1" hidden="1" customHeight="1">
      <c r="A30" s="467">
        <f t="shared" si="0"/>
        <v>22</v>
      </c>
      <c r="B30" s="475"/>
      <c r="C30" s="472"/>
      <c r="D30" s="473"/>
      <c r="E30" s="473"/>
      <c r="F30" s="473"/>
      <c r="G30" s="473"/>
      <c r="H30" s="474"/>
      <c r="I30" s="459"/>
    </row>
    <row r="31" spans="1:9" ht="35.1" hidden="1" customHeight="1">
      <c r="A31" s="467">
        <f t="shared" si="0"/>
        <v>23</v>
      </c>
      <c r="B31" s="475"/>
      <c r="C31" s="472"/>
      <c r="D31" s="473"/>
      <c r="E31" s="473"/>
      <c r="F31" s="473"/>
      <c r="G31" s="473"/>
      <c r="H31" s="474"/>
      <c r="I31" s="459"/>
    </row>
    <row r="32" spans="1:9" ht="35.1" hidden="1" customHeight="1">
      <c r="A32" s="467">
        <f t="shared" si="0"/>
        <v>24</v>
      </c>
      <c r="B32" s="475"/>
      <c r="C32" s="472"/>
      <c r="D32" s="473"/>
      <c r="E32" s="473"/>
      <c r="F32" s="473"/>
      <c r="G32" s="473"/>
      <c r="H32" s="474"/>
      <c r="I32" s="459"/>
    </row>
    <row r="33" spans="1:9" ht="35.1" hidden="1" customHeight="1">
      <c r="A33" s="467">
        <f t="shared" si="0"/>
        <v>25</v>
      </c>
      <c r="B33" s="475"/>
      <c r="C33" s="472"/>
      <c r="D33" s="476"/>
      <c r="E33" s="473"/>
      <c r="F33" s="473"/>
      <c r="G33" s="473"/>
      <c r="H33" s="474"/>
      <c r="I33" s="459"/>
    </row>
    <row r="34" spans="1:9" ht="35.1" hidden="1" customHeight="1">
      <c r="A34" s="467">
        <f t="shared" si="0"/>
        <v>26</v>
      </c>
      <c r="B34" s="475"/>
      <c r="C34" s="472"/>
      <c r="D34" s="473"/>
      <c r="E34" s="473"/>
      <c r="F34" s="473"/>
      <c r="G34" s="473"/>
      <c r="H34" s="474"/>
      <c r="I34" s="459"/>
    </row>
    <row r="35" spans="1:9" ht="35.1" customHeight="1">
      <c r="A35" s="467">
        <f t="shared" si="0"/>
        <v>27</v>
      </c>
      <c r="B35" s="475"/>
      <c r="C35" s="472"/>
      <c r="D35" s="472"/>
      <c r="E35" s="472"/>
      <c r="F35" s="472"/>
      <c r="G35" s="472"/>
      <c r="H35" s="474"/>
      <c r="I35" s="459"/>
    </row>
    <row r="36" spans="1:9" ht="35.1" customHeight="1">
      <c r="A36" s="467">
        <f t="shared" si="0"/>
        <v>28</v>
      </c>
      <c r="B36" s="501" t="s">
        <v>346</v>
      </c>
      <c r="C36" s="502">
        <f>SUBTOTAL(9,C26:C35)</f>
        <v>0</v>
      </c>
      <c r="D36" s="489">
        <f>SUM(D26:D35)</f>
        <v>0</v>
      </c>
      <c r="E36" s="489">
        <f>SUM(E26:E35)</f>
        <v>0</v>
      </c>
      <c r="F36" s="489">
        <f>SUM(F26:F35)</f>
        <v>0</v>
      </c>
      <c r="G36" s="489">
        <f>SUM(G26:G35)</f>
        <v>0</v>
      </c>
      <c r="H36" s="477"/>
      <c r="I36" s="459"/>
    </row>
    <row r="37" spans="1:9" ht="35.1" customHeight="1">
      <c r="A37" s="467">
        <f t="shared" si="0"/>
        <v>29</v>
      </c>
      <c r="B37" s="503" t="s">
        <v>347</v>
      </c>
      <c r="C37" s="478"/>
      <c r="D37" s="478"/>
      <c r="E37" s="478"/>
      <c r="F37" s="479"/>
      <c r="G37" s="480"/>
      <c r="H37" s="474"/>
      <c r="I37" s="459"/>
    </row>
    <row r="38" spans="1:9" ht="35.1" customHeight="1">
      <c r="A38" s="467">
        <f t="shared" si="0"/>
        <v>30</v>
      </c>
      <c r="B38" s="504" t="s">
        <v>348</v>
      </c>
      <c r="C38" s="481"/>
      <c r="D38" s="481"/>
      <c r="E38" s="481"/>
      <c r="F38" s="481"/>
      <c r="G38" s="481"/>
      <c r="H38" s="482"/>
      <c r="I38" s="459"/>
    </row>
    <row r="39" spans="1:9" ht="35.1" customHeight="1" thickBot="1">
      <c r="A39" s="467">
        <f t="shared" si="0"/>
        <v>31</v>
      </c>
      <c r="B39" s="505" t="s">
        <v>21</v>
      </c>
      <c r="C39" s="506">
        <f>+C36-C37-C38</f>
        <v>0</v>
      </c>
      <c r="D39" s="506">
        <f>+D36-D37-D38</f>
        <v>0</v>
      </c>
      <c r="E39" s="506">
        <f>+E36-E37-E38</f>
        <v>0</v>
      </c>
      <c r="F39" s="506">
        <f>+F36-F37-F38</f>
        <v>0</v>
      </c>
      <c r="G39" s="506">
        <f>+G36-G37-G38</f>
        <v>0</v>
      </c>
      <c r="H39" s="507"/>
      <c r="I39" s="459"/>
    </row>
    <row r="40" spans="1:9" ht="35.1" customHeight="1" thickTop="1">
      <c r="A40" s="467">
        <f t="shared" si="0"/>
        <v>32</v>
      </c>
      <c r="B40" s="490" t="s">
        <v>349</v>
      </c>
      <c r="C40" s="491"/>
      <c r="D40" s="493"/>
      <c r="E40" s="492"/>
      <c r="F40" s="483"/>
      <c r="G40" s="508"/>
      <c r="H40" s="483"/>
    </row>
    <row r="41" spans="1:9" ht="35.1" customHeight="1">
      <c r="A41" s="467">
        <f t="shared" si="0"/>
        <v>33</v>
      </c>
      <c r="B41" s="1596" t="s">
        <v>350</v>
      </c>
      <c r="C41" s="1597"/>
      <c r="D41" s="1597"/>
      <c r="E41" s="1597"/>
      <c r="F41" s="1597"/>
      <c r="G41" s="1597"/>
      <c r="H41" s="483"/>
    </row>
    <row r="42" spans="1:9" ht="35.1" customHeight="1">
      <c r="A42" s="467">
        <f t="shared" si="0"/>
        <v>34</v>
      </c>
      <c r="B42" s="498" t="s">
        <v>351</v>
      </c>
      <c r="C42" s="483"/>
      <c r="D42" s="490"/>
      <c r="E42" s="490"/>
      <c r="F42" s="492"/>
      <c r="G42" s="492"/>
      <c r="H42" s="483"/>
    </row>
    <row r="43" spans="1:9" ht="35.1" customHeight="1">
      <c r="A43" s="467">
        <f t="shared" si="0"/>
        <v>35</v>
      </c>
      <c r="B43" s="498" t="s">
        <v>352</v>
      </c>
      <c r="C43" s="483"/>
      <c r="D43" s="490"/>
      <c r="E43" s="490"/>
      <c r="F43" s="492"/>
      <c r="G43" s="492"/>
      <c r="H43" s="483"/>
    </row>
    <row r="44" spans="1:9" ht="35.1" customHeight="1">
      <c r="A44" s="467">
        <f t="shared" si="0"/>
        <v>36</v>
      </c>
      <c r="B44" s="498" t="s">
        <v>353</v>
      </c>
      <c r="C44" s="483"/>
      <c r="D44" s="490"/>
      <c r="E44" s="490"/>
      <c r="F44" s="492"/>
      <c r="G44" s="492"/>
      <c r="H44" s="483"/>
    </row>
    <row r="45" spans="1:9" ht="35.1" customHeight="1">
      <c r="A45" s="467">
        <f t="shared" si="0"/>
        <v>37</v>
      </c>
      <c r="B45" s="1596" t="s">
        <v>762</v>
      </c>
      <c r="C45" s="1596"/>
      <c r="D45" s="1596"/>
      <c r="E45" s="1596"/>
      <c r="F45" s="1596"/>
      <c r="G45" s="1596"/>
      <c r="H45" s="484"/>
    </row>
    <row r="46" spans="1:9" ht="35.1" customHeight="1">
      <c r="A46" s="467">
        <f t="shared" si="0"/>
        <v>38</v>
      </c>
      <c r="B46" s="496"/>
      <c r="C46" s="496"/>
      <c r="D46" s="496"/>
      <c r="E46" s="496"/>
      <c r="F46" s="496"/>
      <c r="G46" s="496"/>
      <c r="H46" s="484"/>
    </row>
    <row r="47" spans="1:9" s="675" customFormat="1" ht="25.15" customHeight="1">
      <c r="A47" s="467">
        <f t="shared" si="0"/>
        <v>39</v>
      </c>
      <c r="B47" s="1589" t="str">
        <f>+B1</f>
        <v>MidAmerican Central California Transco, LLC</v>
      </c>
      <c r="C47" s="1590"/>
      <c r="D47" s="1590"/>
      <c r="E47" s="1590"/>
      <c r="F47" s="1590"/>
      <c r="G47" s="1590"/>
      <c r="H47" s="1590"/>
      <c r="I47" s="676"/>
    </row>
    <row r="48" spans="1:9" s="675" customFormat="1" ht="25.15" customHeight="1">
      <c r="A48" s="467">
        <f t="shared" si="0"/>
        <v>40</v>
      </c>
      <c r="B48" s="1589" t="s">
        <v>360</v>
      </c>
      <c r="C48" s="1589"/>
      <c r="D48" s="1589"/>
      <c r="E48" s="1589"/>
      <c r="F48" s="1589"/>
      <c r="G48" s="1589"/>
      <c r="H48" s="1589"/>
      <c r="I48" s="676"/>
    </row>
    <row r="49" spans="1:9" s="675" customFormat="1" ht="25.15" customHeight="1">
      <c r="A49" s="467">
        <f t="shared" si="0"/>
        <v>41</v>
      </c>
      <c r="B49" s="1599" t="s">
        <v>140</v>
      </c>
      <c r="C49" s="1599"/>
      <c r="D49" s="1599"/>
      <c r="E49" s="1599"/>
      <c r="F49" s="1599"/>
      <c r="G49" s="1599"/>
      <c r="H49" s="1599"/>
      <c r="I49" s="676"/>
    </row>
    <row r="50" spans="1:9" s="456" customFormat="1" ht="25.15" customHeight="1">
      <c r="A50" s="467">
        <f t="shared" si="0"/>
        <v>42</v>
      </c>
      <c r="B50" s="678"/>
      <c r="C50" s="678"/>
      <c r="D50" s="678"/>
      <c r="E50" s="678"/>
      <c r="F50" s="678"/>
      <c r="G50" s="678"/>
      <c r="H50" s="678"/>
      <c r="I50" s="461"/>
    </row>
    <row r="51" spans="1:9" s="456" customFormat="1" ht="25.15" customHeight="1">
      <c r="A51" s="467">
        <f t="shared" si="0"/>
        <v>43</v>
      </c>
      <c r="B51" s="500" t="s">
        <v>77</v>
      </c>
      <c r="C51" s="500" t="s">
        <v>78</v>
      </c>
      <c r="D51" s="500" t="s">
        <v>79</v>
      </c>
      <c r="E51" s="500" t="s">
        <v>80</v>
      </c>
      <c r="F51" s="500" t="s">
        <v>81</v>
      </c>
      <c r="G51" s="500" t="s">
        <v>82</v>
      </c>
      <c r="H51" s="500" t="s">
        <v>84</v>
      </c>
      <c r="I51" s="461"/>
    </row>
    <row r="52" spans="1:9" s="456" customFormat="1" ht="25.15" customHeight="1">
      <c r="A52" s="467">
        <f t="shared" si="0"/>
        <v>44</v>
      </c>
      <c r="B52" s="466"/>
      <c r="C52" s="500" t="s">
        <v>21</v>
      </c>
      <c r="D52" s="500" t="s">
        <v>343</v>
      </c>
      <c r="E52" s="499"/>
      <c r="F52" s="499"/>
      <c r="G52" s="499"/>
      <c r="H52" s="466"/>
      <c r="I52" s="461"/>
    </row>
    <row r="53" spans="1:9" s="456" customFormat="1" ht="25.15" customHeight="1">
      <c r="A53" s="467">
        <f t="shared" si="0"/>
        <v>45</v>
      </c>
      <c r="B53" s="490" t="s">
        <v>333</v>
      </c>
      <c r="C53" s="500"/>
      <c r="D53" s="500" t="s">
        <v>344</v>
      </c>
      <c r="E53" s="500" t="s">
        <v>26</v>
      </c>
      <c r="F53" s="500" t="s">
        <v>331</v>
      </c>
      <c r="G53" s="500" t="s">
        <v>326</v>
      </c>
      <c r="H53" s="466"/>
      <c r="I53" s="461"/>
    </row>
    <row r="54" spans="1:9" s="456" customFormat="1" ht="25.15" customHeight="1">
      <c r="A54" s="467">
        <f t="shared" si="0"/>
        <v>46</v>
      </c>
      <c r="B54" s="498"/>
      <c r="C54" s="500"/>
      <c r="D54" s="500" t="s">
        <v>332</v>
      </c>
      <c r="E54" s="500" t="s">
        <v>332</v>
      </c>
      <c r="F54" s="500" t="s">
        <v>332</v>
      </c>
      <c r="G54" s="500" t="s">
        <v>332</v>
      </c>
      <c r="H54" s="500" t="s">
        <v>345</v>
      </c>
      <c r="I54" s="461"/>
    </row>
    <row r="55" spans="1:9" ht="35.1" customHeight="1">
      <c r="A55" s="467">
        <f t="shared" si="0"/>
        <v>47</v>
      </c>
      <c r="B55" s="528"/>
      <c r="C55" s="472"/>
      <c r="D55" s="473"/>
      <c r="E55" s="473"/>
      <c r="F55" s="473"/>
      <c r="G55" s="473"/>
      <c r="H55" s="527"/>
      <c r="I55" s="459"/>
    </row>
    <row r="56" spans="1:9" ht="35.1" customHeight="1">
      <c r="A56" s="467">
        <f t="shared" si="0"/>
        <v>48</v>
      </c>
      <c r="B56" s="475"/>
      <c r="C56" s="472"/>
      <c r="D56" s="473"/>
      <c r="E56" s="473"/>
      <c r="F56" s="473"/>
      <c r="G56" s="473"/>
      <c r="H56" s="474"/>
      <c r="I56" s="459"/>
    </row>
    <row r="57" spans="1:9" ht="35.1" customHeight="1">
      <c r="A57" s="467">
        <f t="shared" si="0"/>
        <v>49</v>
      </c>
      <c r="B57" s="475"/>
      <c r="C57" s="472"/>
      <c r="D57" s="473"/>
      <c r="E57" s="473"/>
      <c r="F57" s="473"/>
      <c r="G57" s="473"/>
      <c r="H57" s="474"/>
      <c r="I57" s="459"/>
    </row>
    <row r="58" spans="1:9" ht="35.1" customHeight="1">
      <c r="A58" s="467">
        <f t="shared" si="0"/>
        <v>50</v>
      </c>
      <c r="B58" s="475"/>
      <c r="C58" s="472"/>
      <c r="D58" s="473"/>
      <c r="E58" s="473"/>
      <c r="F58" s="473"/>
      <c r="G58" s="473"/>
      <c r="H58" s="474"/>
      <c r="I58" s="459"/>
    </row>
    <row r="59" spans="1:9" ht="35.1" customHeight="1">
      <c r="A59" s="467">
        <f t="shared" si="0"/>
        <v>51</v>
      </c>
      <c r="B59" s="475"/>
      <c r="C59" s="473"/>
      <c r="D59" s="473"/>
      <c r="E59" s="473"/>
      <c r="F59" s="473"/>
      <c r="G59" s="473"/>
      <c r="H59" s="474"/>
      <c r="I59" s="459"/>
    </row>
    <row r="60" spans="1:9" ht="35.1" customHeight="1">
      <c r="A60" s="467">
        <f t="shared" si="0"/>
        <v>52</v>
      </c>
      <c r="B60" s="475"/>
      <c r="C60" s="473"/>
      <c r="D60" s="473"/>
      <c r="E60" s="473"/>
      <c r="F60" s="473"/>
      <c r="G60" s="473"/>
      <c r="H60" s="474"/>
      <c r="I60" s="459"/>
    </row>
    <row r="61" spans="1:9" ht="35.1" customHeight="1">
      <c r="A61" s="467">
        <f t="shared" si="0"/>
        <v>53</v>
      </c>
      <c r="B61" s="486"/>
      <c r="C61" s="487"/>
      <c r="D61" s="487"/>
      <c r="E61" s="487"/>
      <c r="F61" s="487"/>
      <c r="G61" s="487"/>
      <c r="H61" s="474"/>
      <c r="I61" s="459"/>
    </row>
    <row r="62" spans="1:9" ht="35.1" customHeight="1">
      <c r="A62" s="467">
        <f t="shared" si="0"/>
        <v>54</v>
      </c>
      <c r="B62" s="488"/>
      <c r="C62" s="487"/>
      <c r="D62" s="487"/>
      <c r="E62" s="487"/>
      <c r="F62" s="487"/>
      <c r="G62" s="487"/>
      <c r="H62" s="474"/>
      <c r="I62" s="459"/>
    </row>
    <row r="63" spans="1:9" ht="35.1" customHeight="1">
      <c r="A63" s="467">
        <f t="shared" si="0"/>
        <v>55</v>
      </c>
      <c r="B63" s="488"/>
      <c r="C63" s="487"/>
      <c r="D63" s="487"/>
      <c r="E63" s="487"/>
      <c r="F63" s="487"/>
      <c r="G63" s="487"/>
      <c r="H63" s="474"/>
      <c r="I63" s="459"/>
    </row>
    <row r="64" spans="1:9" ht="35.1" customHeight="1">
      <c r="A64" s="467">
        <f t="shared" si="0"/>
        <v>56</v>
      </c>
      <c r="B64" s="509" t="s">
        <v>354</v>
      </c>
      <c r="C64" s="489">
        <f>SUBTOTAL(9,C55:C63)</f>
        <v>0</v>
      </c>
      <c r="D64" s="489">
        <f>SUM(D55:D63)</f>
        <v>0</v>
      </c>
      <c r="E64" s="489">
        <f>SUM(E55:E63)</f>
        <v>0</v>
      </c>
      <c r="F64" s="489">
        <f>SUM(F55:F63)</f>
        <v>0</v>
      </c>
      <c r="G64" s="489">
        <f>SUM(G55:G63)</f>
        <v>0</v>
      </c>
      <c r="H64" s="477"/>
      <c r="I64" s="459"/>
    </row>
    <row r="65" spans="1:9" ht="35.1" customHeight="1">
      <c r="A65" s="467">
        <f t="shared" si="0"/>
        <v>57</v>
      </c>
      <c r="B65" s="510" t="s">
        <v>347</v>
      </c>
      <c r="C65" s="478"/>
      <c r="D65" s="478"/>
      <c r="E65" s="478"/>
      <c r="F65" s="478"/>
      <c r="G65" s="478"/>
      <c r="H65" s="474"/>
      <c r="I65" s="459"/>
    </row>
    <row r="66" spans="1:9" ht="35.1" customHeight="1">
      <c r="A66" s="467">
        <f t="shared" si="0"/>
        <v>58</v>
      </c>
      <c r="B66" s="511" t="s">
        <v>348</v>
      </c>
      <c r="C66" s="481"/>
      <c r="D66" s="481"/>
      <c r="E66" s="481"/>
      <c r="F66" s="481"/>
      <c r="G66" s="481"/>
      <c r="H66" s="482"/>
      <c r="I66" s="459"/>
    </row>
    <row r="67" spans="1:9" ht="35.1" customHeight="1" thickBot="1">
      <c r="A67" s="467">
        <f t="shared" si="0"/>
        <v>59</v>
      </c>
      <c r="B67" s="505" t="s">
        <v>21</v>
      </c>
      <c r="C67" s="506">
        <f>+C64-C65-C66</f>
        <v>0</v>
      </c>
      <c r="D67" s="506">
        <f>+D64-D65-D66</f>
        <v>0</v>
      </c>
      <c r="E67" s="506">
        <f>+E64-E65-E66</f>
        <v>0</v>
      </c>
      <c r="F67" s="506">
        <f>+F64-F65-F66</f>
        <v>0</v>
      </c>
      <c r="G67" s="506">
        <f>+G64-G65-G66</f>
        <v>0</v>
      </c>
      <c r="H67" s="507"/>
      <c r="I67" s="459"/>
    </row>
    <row r="68" spans="1:9" ht="35.1" customHeight="1" thickTop="1">
      <c r="A68" s="467">
        <f t="shared" si="0"/>
        <v>60</v>
      </c>
      <c r="B68" s="485"/>
      <c r="C68" s="483"/>
      <c r="D68" s="490"/>
      <c r="E68" s="491"/>
      <c r="F68" s="492"/>
      <c r="G68" s="493"/>
      <c r="H68" s="484"/>
      <c r="I68" s="459"/>
    </row>
    <row r="69" spans="1:9" ht="35.1" customHeight="1">
      <c r="A69" s="467">
        <f t="shared" si="0"/>
        <v>61</v>
      </c>
      <c r="B69" s="490" t="s">
        <v>355</v>
      </c>
      <c r="C69" s="490"/>
      <c r="D69" s="492"/>
      <c r="E69" s="493"/>
      <c r="F69" s="483"/>
      <c r="G69" s="484"/>
      <c r="H69" s="483"/>
    </row>
    <row r="70" spans="1:9" ht="35.1" customHeight="1">
      <c r="A70" s="467">
        <f t="shared" si="0"/>
        <v>62</v>
      </c>
      <c r="B70" s="1596" t="s">
        <v>350</v>
      </c>
      <c r="C70" s="1597"/>
      <c r="D70" s="1597"/>
      <c r="E70" s="1597"/>
      <c r="F70" s="1597"/>
      <c r="G70" s="1597"/>
      <c r="H70" s="483"/>
    </row>
    <row r="71" spans="1:9" ht="35.1" customHeight="1">
      <c r="A71" s="467">
        <f t="shared" si="0"/>
        <v>63</v>
      </c>
      <c r="B71" s="498" t="s">
        <v>351</v>
      </c>
      <c r="C71" s="483"/>
      <c r="D71" s="490"/>
      <c r="E71" s="490"/>
      <c r="F71" s="492"/>
      <c r="G71" s="492"/>
      <c r="H71" s="483"/>
    </row>
    <row r="72" spans="1:9" ht="35.1" customHeight="1">
      <c r="A72" s="467">
        <f t="shared" si="0"/>
        <v>64</v>
      </c>
      <c r="B72" s="498" t="s">
        <v>352</v>
      </c>
      <c r="C72" s="483"/>
      <c r="D72" s="490"/>
      <c r="E72" s="490"/>
      <c r="F72" s="492"/>
      <c r="G72" s="492"/>
      <c r="H72" s="483"/>
    </row>
    <row r="73" spans="1:9" ht="35.1" customHeight="1">
      <c r="A73" s="467">
        <f t="shared" si="0"/>
        <v>65</v>
      </c>
      <c r="B73" s="498" t="s">
        <v>353</v>
      </c>
      <c r="C73" s="483"/>
      <c r="D73" s="490"/>
      <c r="E73" s="490"/>
      <c r="F73" s="492"/>
      <c r="G73" s="492"/>
      <c r="H73" s="483"/>
    </row>
    <row r="74" spans="1:9" ht="35.1" customHeight="1">
      <c r="A74" s="467">
        <f t="shared" si="0"/>
        <v>66</v>
      </c>
      <c r="B74" s="1596" t="s">
        <v>579</v>
      </c>
      <c r="C74" s="1596"/>
      <c r="D74" s="1596"/>
      <c r="E74" s="1596"/>
      <c r="F74" s="1596"/>
      <c r="G74" s="1596"/>
      <c r="H74" s="484"/>
    </row>
    <row r="75" spans="1:9" s="675" customFormat="1" ht="25.15" customHeight="1">
      <c r="A75" s="467">
        <f t="shared" ref="A75:A102" si="1">+A74+1</f>
        <v>67</v>
      </c>
      <c r="B75" s="1589" t="str">
        <f>+B47</f>
        <v>MidAmerican Central California Transco, LLC</v>
      </c>
      <c r="C75" s="1590"/>
      <c r="D75" s="1590"/>
      <c r="E75" s="1590"/>
      <c r="F75" s="1590"/>
      <c r="G75" s="1590"/>
      <c r="H75" s="1590"/>
      <c r="I75" s="676"/>
    </row>
    <row r="76" spans="1:9" s="675" customFormat="1" ht="25.15" customHeight="1">
      <c r="A76" s="467">
        <f t="shared" si="1"/>
        <v>68</v>
      </c>
      <c r="B76" s="1589" t="s">
        <v>360</v>
      </c>
      <c r="C76" s="1589"/>
      <c r="D76" s="1589"/>
      <c r="E76" s="1589"/>
      <c r="F76" s="1589"/>
      <c r="G76" s="1589"/>
      <c r="H76" s="1589"/>
      <c r="I76" s="676"/>
    </row>
    <row r="77" spans="1:9" s="675" customFormat="1" ht="25.15" customHeight="1">
      <c r="A77" s="467">
        <f t="shared" si="1"/>
        <v>69</v>
      </c>
      <c r="B77" s="1599" t="s">
        <v>140</v>
      </c>
      <c r="C77" s="1599"/>
      <c r="D77" s="1599"/>
      <c r="E77" s="1599"/>
      <c r="F77" s="1599"/>
      <c r="G77" s="1599"/>
      <c r="H77" s="1599"/>
      <c r="I77" s="676"/>
    </row>
    <row r="78" spans="1:9" s="456" customFormat="1" ht="25.15" customHeight="1">
      <c r="A78" s="467">
        <f t="shared" si="1"/>
        <v>70</v>
      </c>
      <c r="B78" s="498"/>
      <c r="C78" s="490"/>
      <c r="D78" s="490"/>
      <c r="E78" s="490"/>
      <c r="F78" s="490"/>
      <c r="G78" s="490"/>
      <c r="H78" s="484"/>
      <c r="I78" s="461"/>
    </row>
    <row r="79" spans="1:9" s="456" customFormat="1" ht="35.1" customHeight="1">
      <c r="A79" s="467">
        <f t="shared" si="1"/>
        <v>71</v>
      </c>
      <c r="B79" s="500" t="s">
        <v>77</v>
      </c>
      <c r="C79" s="500" t="s">
        <v>78</v>
      </c>
      <c r="D79" s="500" t="s">
        <v>79</v>
      </c>
      <c r="E79" s="500" t="s">
        <v>80</v>
      </c>
      <c r="F79" s="500" t="s">
        <v>81</v>
      </c>
      <c r="G79" s="500" t="s">
        <v>82</v>
      </c>
      <c r="H79" s="500" t="s">
        <v>84</v>
      </c>
      <c r="I79" s="461"/>
    </row>
    <row r="80" spans="1:9" s="456" customFormat="1" ht="30" customHeight="1">
      <c r="A80" s="467">
        <f t="shared" si="1"/>
        <v>72</v>
      </c>
      <c r="B80" s="490"/>
      <c r="C80" s="500" t="s">
        <v>21</v>
      </c>
      <c r="D80" s="500" t="s">
        <v>343</v>
      </c>
      <c r="E80" s="499"/>
      <c r="F80" s="499"/>
      <c r="G80" s="499"/>
      <c r="H80" s="466"/>
      <c r="I80" s="461"/>
    </row>
    <row r="81" spans="1:9" s="456" customFormat="1" ht="30" customHeight="1">
      <c r="A81" s="467">
        <f t="shared" si="1"/>
        <v>73</v>
      </c>
      <c r="B81" s="490" t="s">
        <v>362</v>
      </c>
      <c r="C81" s="500"/>
      <c r="D81" s="500" t="s">
        <v>344</v>
      </c>
      <c r="E81" s="500" t="s">
        <v>26</v>
      </c>
      <c r="F81" s="500" t="s">
        <v>331</v>
      </c>
      <c r="G81" s="500" t="s">
        <v>326</v>
      </c>
      <c r="H81" s="466"/>
      <c r="I81" s="461"/>
    </row>
    <row r="82" spans="1:9" s="456" customFormat="1" ht="30" customHeight="1">
      <c r="A82" s="467">
        <f t="shared" si="1"/>
        <v>74</v>
      </c>
      <c r="B82" s="490"/>
      <c r="C82" s="500"/>
      <c r="D82" s="500" t="s">
        <v>332</v>
      </c>
      <c r="E82" s="500" t="s">
        <v>332</v>
      </c>
      <c r="F82" s="500" t="s">
        <v>332</v>
      </c>
      <c r="G82" s="500" t="s">
        <v>332</v>
      </c>
      <c r="H82" s="466"/>
      <c r="I82" s="461"/>
    </row>
    <row r="83" spans="1:9" ht="35.1" customHeight="1">
      <c r="A83" s="467">
        <f t="shared" si="1"/>
        <v>75</v>
      </c>
      <c r="B83" s="1482" t="s">
        <v>1081</v>
      </c>
      <c r="C83" s="1503">
        <v>-414564</v>
      </c>
      <c r="D83" s="473"/>
      <c r="E83" s="1504">
        <v>-414564</v>
      </c>
      <c r="F83" s="473"/>
      <c r="G83" s="473"/>
      <c r="H83" s="474" t="s">
        <v>1082</v>
      </c>
      <c r="I83" s="459"/>
    </row>
    <row r="84" spans="1:9" ht="35.1" customHeight="1">
      <c r="A84" s="467">
        <f t="shared" si="1"/>
        <v>76</v>
      </c>
      <c r="B84" s="475" t="s">
        <v>1086</v>
      </c>
      <c r="C84" s="472">
        <v>-1209428</v>
      </c>
      <c r="D84" s="473"/>
      <c r="E84" s="473">
        <v>-1209428</v>
      </c>
      <c r="F84" s="473"/>
      <c r="G84" s="473"/>
      <c r="H84" s="474"/>
      <c r="I84" s="459"/>
    </row>
    <row r="85" spans="1:9" ht="35.1" customHeight="1">
      <c r="A85" s="467">
        <f t="shared" si="1"/>
        <v>77</v>
      </c>
      <c r="B85" s="475" t="s">
        <v>1100</v>
      </c>
      <c r="C85" s="472">
        <v>-417009</v>
      </c>
      <c r="D85" s="473"/>
      <c r="E85" s="473">
        <v>-417009</v>
      </c>
      <c r="F85" s="473"/>
      <c r="G85" s="473"/>
      <c r="H85" s="474"/>
      <c r="I85" s="459"/>
    </row>
    <row r="86" spans="1:9" ht="35.1" customHeight="1">
      <c r="A86" s="467">
        <f t="shared" si="1"/>
        <v>78</v>
      </c>
      <c r="B86" s="475"/>
      <c r="C86" s="472"/>
      <c r="D86" s="473"/>
      <c r="E86" s="473"/>
      <c r="F86" s="473"/>
      <c r="G86" s="473"/>
      <c r="H86" s="474"/>
      <c r="I86" s="459"/>
    </row>
    <row r="87" spans="1:9" ht="35.1" customHeight="1">
      <c r="A87" s="467">
        <f t="shared" si="1"/>
        <v>79</v>
      </c>
      <c r="B87" s="475"/>
      <c r="C87" s="473"/>
      <c r="D87" s="487"/>
      <c r="E87" s="473"/>
      <c r="F87" s="473"/>
      <c r="G87" s="473"/>
      <c r="H87" s="474"/>
      <c r="I87" s="459"/>
    </row>
    <row r="88" spans="1:9" ht="35.1" customHeight="1">
      <c r="A88" s="467">
        <f t="shared" si="1"/>
        <v>80</v>
      </c>
      <c r="B88" s="475"/>
      <c r="C88" s="473"/>
      <c r="D88" s="487"/>
      <c r="E88" s="473"/>
      <c r="F88" s="473"/>
      <c r="G88" s="473"/>
      <c r="H88" s="474"/>
      <c r="I88" s="459"/>
    </row>
    <row r="89" spans="1:9" ht="35.1" customHeight="1">
      <c r="A89" s="467">
        <f t="shared" si="1"/>
        <v>81</v>
      </c>
      <c r="B89" s="475"/>
      <c r="C89" s="473"/>
      <c r="D89" s="487"/>
      <c r="E89" s="473"/>
      <c r="F89" s="473"/>
      <c r="G89" s="473"/>
      <c r="H89" s="474"/>
      <c r="I89" s="459"/>
    </row>
    <row r="90" spans="1:9" ht="35.1" customHeight="1">
      <c r="A90" s="467">
        <f t="shared" si="1"/>
        <v>82</v>
      </c>
      <c r="B90" s="475"/>
      <c r="C90" s="473"/>
      <c r="D90" s="476"/>
      <c r="E90" s="473"/>
      <c r="F90" s="473"/>
      <c r="G90" s="473"/>
      <c r="H90" s="474"/>
      <c r="I90" s="459"/>
    </row>
    <row r="91" spans="1:9" ht="35.1" customHeight="1">
      <c r="A91" s="467">
        <f t="shared" si="1"/>
        <v>83</v>
      </c>
      <c r="B91" s="475"/>
      <c r="C91" s="473"/>
      <c r="D91" s="473"/>
      <c r="E91" s="473"/>
      <c r="F91" s="473"/>
      <c r="G91" s="473"/>
      <c r="H91" s="474"/>
      <c r="I91" s="459"/>
    </row>
    <row r="92" spans="1:9" ht="35.1" customHeight="1">
      <c r="A92" s="467">
        <f t="shared" si="1"/>
        <v>84</v>
      </c>
      <c r="B92" s="475"/>
      <c r="C92" s="473"/>
      <c r="D92" s="473"/>
      <c r="E92" s="473"/>
      <c r="F92" s="473"/>
      <c r="G92" s="473"/>
      <c r="H92" s="474"/>
      <c r="I92" s="459"/>
    </row>
    <row r="93" spans="1:9" ht="20.100000000000001" customHeight="1">
      <c r="A93" s="467">
        <f t="shared" si="1"/>
        <v>85</v>
      </c>
      <c r="B93" s="512" t="s">
        <v>356</v>
      </c>
      <c r="C93" s="502">
        <f>SUBTOTAL(9,C83:C92)</f>
        <v>-2041001</v>
      </c>
      <c r="D93" s="502">
        <f>SUM(D83:D92)</f>
        <v>0</v>
      </c>
      <c r="E93" s="502">
        <f>SUM(E83:E92)</f>
        <v>-2041001</v>
      </c>
      <c r="F93" s="502">
        <f>SUM(F83:F92)</f>
        <v>0</v>
      </c>
      <c r="G93" s="502">
        <f>SUM(G83:G92)</f>
        <v>0</v>
      </c>
      <c r="H93" s="474"/>
      <c r="I93" s="459"/>
    </row>
    <row r="94" spans="1:9" ht="20.100000000000001" customHeight="1">
      <c r="A94" s="467">
        <f t="shared" si="1"/>
        <v>86</v>
      </c>
      <c r="B94" s="513" t="s">
        <v>347</v>
      </c>
      <c r="C94" s="479"/>
      <c r="D94" s="479"/>
      <c r="E94" s="479"/>
      <c r="F94" s="479"/>
      <c r="G94" s="479"/>
      <c r="H94" s="474"/>
      <c r="I94" s="459"/>
    </row>
    <row r="95" spans="1:9" ht="20.100000000000001" customHeight="1">
      <c r="A95" s="467">
        <f t="shared" si="1"/>
        <v>87</v>
      </c>
      <c r="B95" s="514" t="s">
        <v>348</v>
      </c>
      <c r="C95" s="494"/>
      <c r="D95" s="494"/>
      <c r="E95" s="494"/>
      <c r="F95" s="494"/>
      <c r="G95" s="494"/>
      <c r="H95" s="482"/>
      <c r="I95" s="459"/>
    </row>
    <row r="96" spans="1:9" ht="20.100000000000001" customHeight="1" thickBot="1">
      <c r="A96" s="467">
        <f t="shared" si="1"/>
        <v>88</v>
      </c>
      <c r="B96" s="505" t="s">
        <v>21</v>
      </c>
      <c r="C96" s="515">
        <f>+C93-C94-C95</f>
        <v>-2041001</v>
      </c>
      <c r="D96" s="515">
        <f>+D93-D94-D95</f>
        <v>0</v>
      </c>
      <c r="E96" s="515">
        <f>+E93-E94-E95</f>
        <v>-2041001</v>
      </c>
      <c r="F96" s="515">
        <f>+F93-F94-F95</f>
        <v>0</v>
      </c>
      <c r="G96" s="515">
        <f>+G93-G94-G95</f>
        <v>0</v>
      </c>
      <c r="H96" s="507"/>
      <c r="I96" s="459"/>
    </row>
    <row r="97" spans="1:9" ht="35.1" customHeight="1" thickTop="1">
      <c r="A97" s="467">
        <f t="shared" si="1"/>
        <v>89</v>
      </c>
      <c r="B97" s="516" t="s">
        <v>357</v>
      </c>
      <c r="C97" s="490"/>
      <c r="D97" s="490"/>
      <c r="E97" s="492"/>
      <c r="F97" s="492"/>
      <c r="G97" s="483"/>
      <c r="H97" s="495"/>
      <c r="I97" s="459"/>
    </row>
    <row r="98" spans="1:9" ht="20.100000000000001" customHeight="1">
      <c r="A98" s="467">
        <f t="shared" si="1"/>
        <v>90</v>
      </c>
      <c r="B98" s="1596" t="s">
        <v>350</v>
      </c>
      <c r="C98" s="1597"/>
      <c r="D98" s="1597"/>
      <c r="E98" s="1597"/>
      <c r="F98" s="1597"/>
      <c r="G98" s="1597"/>
      <c r="H98" s="483"/>
    </row>
    <row r="99" spans="1:9" ht="20.100000000000001" customHeight="1">
      <c r="A99" s="467">
        <f t="shared" si="1"/>
        <v>91</v>
      </c>
      <c r="B99" s="498" t="s">
        <v>351</v>
      </c>
      <c r="C99" s="483"/>
      <c r="D99" s="490"/>
      <c r="E99" s="490"/>
      <c r="F99" s="492"/>
      <c r="G99" s="492"/>
      <c r="H99" s="483"/>
    </row>
    <row r="100" spans="1:9" ht="20.100000000000001" customHeight="1">
      <c r="A100" s="467">
        <f t="shared" si="1"/>
        <v>92</v>
      </c>
      <c r="B100" s="498" t="s">
        <v>352</v>
      </c>
      <c r="C100" s="483"/>
      <c r="D100" s="490"/>
      <c r="E100" s="490"/>
      <c r="F100" s="492"/>
      <c r="G100" s="492"/>
      <c r="H100" s="483"/>
    </row>
    <row r="101" spans="1:9" ht="20.100000000000001" customHeight="1">
      <c r="A101" s="467">
        <f t="shared" si="1"/>
        <v>93</v>
      </c>
      <c r="B101" s="498" t="s">
        <v>353</v>
      </c>
      <c r="C101" s="483"/>
      <c r="D101" s="490"/>
      <c r="E101" s="490"/>
      <c r="F101" s="492"/>
      <c r="G101" s="492"/>
      <c r="H101" s="483"/>
    </row>
    <row r="102" spans="1:9" ht="35.1" customHeight="1">
      <c r="A102" s="467">
        <f t="shared" si="1"/>
        <v>94</v>
      </c>
      <c r="B102" s="1596" t="s">
        <v>579</v>
      </c>
      <c r="C102" s="1596"/>
      <c r="D102" s="1596"/>
      <c r="E102" s="1596"/>
      <c r="F102" s="1596"/>
      <c r="G102" s="1596"/>
      <c r="H102" s="483"/>
    </row>
    <row r="103" spans="1:9" ht="15.75">
      <c r="B103" s="485"/>
      <c r="C103" s="483"/>
      <c r="D103" s="483"/>
      <c r="E103" s="483"/>
      <c r="F103" s="483"/>
      <c r="G103" s="483"/>
      <c r="H103" s="483"/>
      <c r="I103" s="459"/>
    </row>
    <row r="104" spans="1:9" ht="15.75" customHeight="1">
      <c r="B104" s="497"/>
      <c r="C104" s="497"/>
      <c r="D104" s="497"/>
      <c r="E104" s="497"/>
      <c r="F104" s="497"/>
      <c r="G104" s="497"/>
      <c r="H104" s="497"/>
      <c r="I104" s="459"/>
    </row>
    <row r="105" spans="1:9" ht="15.75">
      <c r="B105" s="1598"/>
      <c r="C105" s="1598"/>
      <c r="D105" s="1598"/>
      <c r="E105" s="1598"/>
      <c r="F105" s="1598"/>
      <c r="G105" s="1598"/>
      <c r="H105" s="1598"/>
      <c r="I105" s="460"/>
    </row>
    <row r="106" spans="1:9" ht="15.75">
      <c r="B106" s="490"/>
      <c r="C106" s="490"/>
      <c r="D106" s="490"/>
      <c r="E106" s="490"/>
      <c r="F106" s="490"/>
      <c r="G106" s="490"/>
      <c r="H106" s="490"/>
      <c r="I106" s="459"/>
    </row>
    <row r="107" spans="1:9" ht="15.75">
      <c r="B107" s="490"/>
      <c r="C107" s="490"/>
      <c r="D107" s="490"/>
      <c r="E107" s="490"/>
      <c r="F107" s="490"/>
      <c r="G107" s="490"/>
      <c r="H107" s="490"/>
      <c r="I107" s="459"/>
    </row>
    <row r="108" spans="1:9" ht="15.75" customHeight="1">
      <c r="B108" s="490"/>
      <c r="C108" s="490"/>
      <c r="D108" s="490"/>
      <c r="E108" s="490"/>
      <c r="F108" s="490"/>
      <c r="G108" s="490"/>
      <c r="H108" s="490"/>
      <c r="I108" s="459"/>
    </row>
    <row r="109" spans="1:9" ht="15.75">
      <c r="B109" s="490"/>
      <c r="C109" s="490"/>
      <c r="D109" s="517"/>
      <c r="E109" s="517"/>
      <c r="F109" s="517"/>
      <c r="G109" s="517"/>
      <c r="H109" s="517"/>
      <c r="I109" s="462"/>
    </row>
    <row r="110" spans="1:9" ht="15.75">
      <c r="B110" s="490"/>
      <c r="C110" s="490"/>
      <c r="D110" s="517"/>
      <c r="E110" s="517"/>
      <c r="F110" s="517"/>
      <c r="G110" s="517"/>
      <c r="H110" s="517"/>
      <c r="I110" s="462"/>
    </row>
    <row r="111" spans="1:9" ht="15.75">
      <c r="B111" s="498"/>
      <c r="C111" s="490"/>
      <c r="D111" s="492"/>
      <c r="E111" s="492"/>
      <c r="F111" s="490"/>
      <c r="G111" s="490"/>
      <c r="H111" s="490"/>
      <c r="I111" s="459"/>
    </row>
    <row r="112" spans="1:9" ht="15.75">
      <c r="B112" s="498"/>
      <c r="C112" s="490"/>
      <c r="D112" s="165"/>
      <c r="E112" s="165"/>
      <c r="F112" s="490"/>
      <c r="G112" s="490"/>
      <c r="H112" s="490"/>
      <c r="I112" s="459"/>
    </row>
    <row r="113" spans="2:9" ht="15.75">
      <c r="B113" s="498"/>
      <c r="C113" s="490"/>
      <c r="D113" s="165"/>
      <c r="E113" s="165"/>
      <c r="F113" s="490"/>
      <c r="G113" s="490"/>
      <c r="H113" s="490"/>
      <c r="I113" s="459"/>
    </row>
    <row r="114" spans="2:9" ht="15.75">
      <c r="B114" s="498"/>
      <c r="C114" s="490"/>
      <c r="D114" s="165"/>
      <c r="E114" s="165"/>
      <c r="F114" s="490"/>
      <c r="G114" s="490"/>
      <c r="H114" s="490"/>
      <c r="I114" s="459"/>
    </row>
    <row r="115" spans="2:9" ht="15.75">
      <c r="B115" s="498"/>
      <c r="C115" s="490"/>
      <c r="D115" s="165"/>
      <c r="E115" s="165"/>
      <c r="F115" s="490"/>
      <c r="G115" s="490"/>
      <c r="H115" s="490"/>
      <c r="I115" s="459"/>
    </row>
    <row r="116" spans="2:9" ht="15.75">
      <c r="B116" s="498"/>
      <c r="C116" s="490"/>
      <c r="D116" s="165"/>
      <c r="E116" s="165"/>
      <c r="F116" s="490"/>
      <c r="G116" s="490"/>
      <c r="H116" s="490"/>
      <c r="I116" s="459"/>
    </row>
    <row r="117" spans="2:9" ht="15.75">
      <c r="B117" s="498"/>
      <c r="C117" s="490"/>
      <c r="D117" s="165"/>
      <c r="E117" s="165"/>
      <c r="F117" s="490"/>
      <c r="G117" s="490"/>
      <c r="H117" s="490"/>
      <c r="I117" s="459"/>
    </row>
    <row r="118" spans="2:9" ht="15.75">
      <c r="B118" s="498"/>
      <c r="C118" s="490"/>
      <c r="D118" s="165"/>
      <c r="E118" s="165"/>
      <c r="F118" s="490"/>
      <c r="G118" s="490"/>
      <c r="H118" s="490"/>
      <c r="I118" s="459"/>
    </row>
    <row r="119" spans="2:9" ht="15.75">
      <c r="B119" s="498"/>
      <c r="C119" s="490"/>
      <c r="D119" s="165"/>
      <c r="E119" s="165"/>
      <c r="F119" s="490"/>
      <c r="G119" s="490"/>
      <c r="H119" s="490"/>
      <c r="I119" s="459"/>
    </row>
    <row r="120" spans="2:9" ht="15.75">
      <c r="B120" s="498"/>
      <c r="C120" s="490"/>
      <c r="D120" s="165"/>
      <c r="E120" s="165"/>
      <c r="F120" s="490"/>
      <c r="G120" s="490"/>
      <c r="H120" s="490"/>
      <c r="I120" s="459"/>
    </row>
    <row r="121" spans="2:9" ht="15.75">
      <c r="B121" s="498"/>
      <c r="C121" s="490"/>
      <c r="D121" s="165"/>
      <c r="E121" s="165"/>
      <c r="F121" s="490"/>
      <c r="G121" s="490"/>
      <c r="H121" s="490"/>
      <c r="I121" s="459"/>
    </row>
    <row r="122" spans="2:9" ht="15.75">
      <c r="B122" s="490"/>
      <c r="C122" s="490"/>
      <c r="D122" s="165"/>
      <c r="E122" s="165"/>
      <c r="F122" s="490"/>
      <c r="G122" s="490"/>
      <c r="H122" s="490"/>
      <c r="I122" s="459"/>
    </row>
    <row r="123" spans="2:9" ht="15.75">
      <c r="B123" s="498"/>
      <c r="C123" s="490"/>
      <c r="D123" s="165"/>
      <c r="E123" s="165"/>
      <c r="F123" s="490"/>
      <c r="G123" s="490"/>
      <c r="H123" s="490"/>
      <c r="I123" s="459"/>
    </row>
    <row r="124" spans="2:9" ht="15.75">
      <c r="B124" s="490"/>
      <c r="C124" s="490"/>
      <c r="D124" s="165"/>
      <c r="E124" s="165"/>
      <c r="F124" s="490"/>
      <c r="G124" s="490"/>
      <c r="H124" s="490"/>
      <c r="I124" s="459"/>
    </row>
    <row r="125" spans="2:9" ht="15.75">
      <c r="B125" s="498"/>
      <c r="C125" s="490"/>
      <c r="D125" s="490"/>
      <c r="E125" s="490"/>
      <c r="F125" s="490"/>
      <c r="G125" s="490"/>
      <c r="H125" s="490"/>
      <c r="I125" s="459"/>
    </row>
    <row r="126" spans="2:9" ht="15.75">
      <c r="B126" s="498"/>
      <c r="C126" s="490"/>
      <c r="D126" s="490"/>
      <c r="E126" s="490"/>
      <c r="F126" s="490"/>
      <c r="G126" s="490"/>
      <c r="H126" s="490"/>
    </row>
    <row r="127" spans="2:9" ht="15.75">
      <c r="B127" s="498"/>
      <c r="C127" s="490"/>
      <c r="D127" s="490"/>
      <c r="E127" s="490"/>
      <c r="F127" s="490"/>
      <c r="G127" s="490"/>
      <c r="H127" s="490"/>
    </row>
    <row r="128" spans="2:9" ht="15.75">
      <c r="B128" s="498"/>
      <c r="C128" s="490"/>
      <c r="D128" s="490"/>
      <c r="E128" s="490"/>
      <c r="F128" s="490"/>
      <c r="G128" s="490"/>
      <c r="H128" s="490"/>
    </row>
    <row r="129" spans="2:8" ht="15.75">
      <c r="B129" s="498"/>
      <c r="C129" s="490"/>
      <c r="D129" s="490"/>
      <c r="E129" s="490"/>
      <c r="F129" s="490"/>
      <c r="G129" s="490"/>
      <c r="H129" s="490"/>
    </row>
    <row r="130" spans="2:8" ht="15.75">
      <c r="B130" s="498"/>
      <c r="C130" s="490"/>
      <c r="D130" s="490"/>
      <c r="E130" s="490"/>
      <c r="F130" s="490"/>
      <c r="G130" s="490"/>
      <c r="H130" s="490"/>
    </row>
    <row r="131" spans="2:8" ht="15.75">
      <c r="B131" s="498"/>
      <c r="C131" s="490"/>
      <c r="D131" s="490"/>
      <c r="E131" s="490"/>
      <c r="F131" s="490"/>
      <c r="G131" s="490"/>
      <c r="H131" s="490"/>
    </row>
    <row r="132" spans="2:8" ht="15.75">
      <c r="B132" s="498"/>
      <c r="C132" s="490"/>
      <c r="D132" s="490"/>
      <c r="E132" s="490"/>
      <c r="F132" s="490"/>
      <c r="G132" s="490"/>
      <c r="H132" s="490"/>
    </row>
    <row r="133" spans="2:8" ht="15.75">
      <c r="B133" s="498"/>
      <c r="C133" s="490"/>
      <c r="D133" s="490"/>
      <c r="E133" s="490"/>
      <c r="F133" s="490"/>
      <c r="G133" s="490"/>
      <c r="H133" s="490"/>
    </row>
    <row r="134" spans="2:8" ht="15.75">
      <c r="B134" s="498"/>
      <c r="C134" s="490"/>
      <c r="D134" s="490"/>
      <c r="E134" s="490"/>
      <c r="F134" s="490"/>
      <c r="G134" s="490"/>
      <c r="H134" s="490"/>
    </row>
    <row r="135" spans="2:8" ht="15.75">
      <c r="B135" s="498"/>
      <c r="C135" s="490"/>
      <c r="D135" s="490"/>
      <c r="E135" s="490"/>
      <c r="F135" s="490"/>
      <c r="G135" s="490"/>
      <c r="H135" s="490"/>
    </row>
    <row r="136" spans="2:8" ht="15.75">
      <c r="B136" s="498"/>
      <c r="C136" s="490"/>
      <c r="D136" s="490"/>
      <c r="E136" s="490"/>
      <c r="F136" s="490"/>
      <c r="G136" s="490"/>
      <c r="H136" s="490"/>
    </row>
    <row r="137" spans="2:8" ht="15.75">
      <c r="B137" s="498"/>
      <c r="C137" s="490"/>
      <c r="D137" s="490"/>
      <c r="E137" s="490"/>
      <c r="F137" s="490"/>
      <c r="G137" s="490"/>
      <c r="H137" s="490"/>
    </row>
    <row r="138" spans="2:8" ht="15.75">
      <c r="B138" s="498"/>
      <c r="C138" s="490"/>
      <c r="D138" s="490"/>
      <c r="E138" s="490"/>
      <c r="F138" s="490"/>
      <c r="G138" s="490"/>
      <c r="H138" s="490"/>
    </row>
    <row r="139" spans="2:8" ht="15.75">
      <c r="B139" s="498"/>
      <c r="C139" s="490"/>
      <c r="D139" s="490"/>
      <c r="E139" s="490"/>
      <c r="F139" s="490"/>
      <c r="G139" s="490"/>
      <c r="H139" s="490"/>
    </row>
    <row r="140" spans="2:8" ht="15.75">
      <c r="B140" s="498"/>
      <c r="C140" s="490"/>
      <c r="D140" s="490"/>
      <c r="E140" s="490"/>
      <c r="F140" s="490"/>
      <c r="G140" s="490"/>
      <c r="H140" s="490"/>
    </row>
    <row r="141" spans="2:8" ht="15.75">
      <c r="B141" s="498"/>
      <c r="C141" s="490"/>
      <c r="D141" s="490"/>
      <c r="E141" s="490"/>
      <c r="F141" s="490"/>
      <c r="G141" s="490"/>
      <c r="H141" s="490"/>
    </row>
    <row r="142" spans="2:8" ht="15.75">
      <c r="B142" s="498"/>
      <c r="C142" s="490"/>
      <c r="D142" s="490"/>
      <c r="E142" s="490"/>
      <c r="F142" s="490"/>
      <c r="G142" s="490"/>
      <c r="H142" s="490"/>
    </row>
    <row r="143" spans="2:8" ht="15.75">
      <c r="B143" s="498"/>
      <c r="C143" s="490"/>
      <c r="D143" s="490"/>
      <c r="E143" s="490"/>
      <c r="F143" s="490"/>
      <c r="G143" s="490"/>
      <c r="H143" s="490"/>
    </row>
    <row r="144" spans="2:8" ht="15.75">
      <c r="B144" s="498"/>
      <c r="C144" s="490"/>
      <c r="D144" s="490"/>
      <c r="E144" s="490"/>
      <c r="F144" s="490"/>
      <c r="G144" s="490"/>
      <c r="H144" s="490"/>
    </row>
    <row r="145" spans="2:8" ht="15.75">
      <c r="B145" s="498"/>
      <c r="C145" s="490"/>
      <c r="D145" s="490"/>
      <c r="E145" s="490"/>
      <c r="F145" s="490"/>
      <c r="G145" s="490"/>
      <c r="H145" s="490"/>
    </row>
    <row r="146" spans="2:8" ht="15.75">
      <c r="B146" s="498"/>
      <c r="C146" s="490"/>
      <c r="D146" s="490"/>
      <c r="E146" s="490"/>
      <c r="F146" s="490"/>
      <c r="G146" s="490"/>
      <c r="H146" s="490"/>
    </row>
    <row r="147" spans="2:8" ht="15.75">
      <c r="B147" s="498"/>
      <c r="C147" s="490"/>
      <c r="D147" s="490"/>
      <c r="E147" s="490"/>
      <c r="F147" s="490"/>
      <c r="G147" s="490"/>
      <c r="H147" s="490"/>
    </row>
    <row r="148" spans="2:8" ht="15.75">
      <c r="B148" s="498"/>
      <c r="C148" s="490"/>
      <c r="D148" s="490"/>
      <c r="E148" s="490"/>
      <c r="F148" s="490"/>
      <c r="G148" s="490"/>
      <c r="H148" s="490"/>
    </row>
    <row r="149" spans="2:8" ht="15.75">
      <c r="B149" s="498"/>
      <c r="C149" s="490"/>
      <c r="D149" s="490"/>
      <c r="E149" s="490"/>
      <c r="F149" s="490"/>
      <c r="G149" s="490"/>
      <c r="H149" s="490"/>
    </row>
    <row r="150" spans="2:8" ht="15.75">
      <c r="B150" s="498"/>
      <c r="C150" s="490"/>
      <c r="D150" s="490"/>
      <c r="E150" s="490"/>
      <c r="F150" s="490"/>
      <c r="G150" s="490"/>
      <c r="H150" s="490"/>
    </row>
    <row r="151" spans="2:8" ht="15.75">
      <c r="B151" s="498"/>
      <c r="C151" s="490"/>
      <c r="D151" s="490"/>
      <c r="E151" s="490"/>
      <c r="F151" s="490"/>
      <c r="G151" s="490"/>
      <c r="H151" s="490"/>
    </row>
    <row r="152" spans="2:8" ht="15.75">
      <c r="B152" s="498"/>
      <c r="C152" s="490"/>
      <c r="D152" s="490"/>
      <c r="E152" s="490"/>
      <c r="F152" s="490"/>
      <c r="G152" s="490"/>
      <c r="H152" s="490"/>
    </row>
    <row r="153" spans="2:8" ht="15.75">
      <c r="B153" s="498"/>
      <c r="C153" s="490"/>
      <c r="D153" s="490"/>
      <c r="E153" s="490"/>
      <c r="F153" s="490"/>
      <c r="G153" s="490"/>
      <c r="H153" s="490"/>
    </row>
    <row r="154" spans="2:8" ht="15.75">
      <c r="B154" s="498"/>
      <c r="C154" s="490"/>
      <c r="D154" s="490"/>
      <c r="E154" s="490"/>
      <c r="F154" s="490"/>
      <c r="G154" s="490"/>
      <c r="H154" s="490"/>
    </row>
    <row r="155" spans="2:8" ht="15.75">
      <c r="B155" s="498"/>
      <c r="C155" s="490"/>
      <c r="D155" s="490"/>
      <c r="E155" s="490"/>
      <c r="F155" s="490"/>
      <c r="G155" s="490"/>
      <c r="H155" s="490"/>
    </row>
    <row r="156" spans="2:8" ht="15.75">
      <c r="B156" s="498"/>
      <c r="C156" s="490"/>
      <c r="D156" s="490"/>
      <c r="E156" s="490"/>
      <c r="F156" s="490"/>
      <c r="G156" s="490"/>
      <c r="H156" s="490"/>
    </row>
    <row r="157" spans="2:8" ht="15.75">
      <c r="B157" s="498"/>
      <c r="C157" s="490"/>
      <c r="D157" s="490"/>
      <c r="E157" s="490"/>
      <c r="F157" s="490"/>
      <c r="G157" s="490"/>
      <c r="H157" s="490"/>
    </row>
    <row r="158" spans="2:8" ht="15.75">
      <c r="B158" s="498"/>
      <c r="C158" s="490"/>
      <c r="D158" s="490"/>
      <c r="E158" s="490"/>
      <c r="F158" s="490"/>
      <c r="G158" s="490"/>
      <c r="H158" s="490"/>
    </row>
    <row r="159" spans="2:8" ht="15.75">
      <c r="B159" s="498"/>
      <c r="C159" s="490"/>
      <c r="D159" s="490"/>
      <c r="E159" s="490"/>
      <c r="F159" s="490"/>
      <c r="G159" s="490"/>
      <c r="H159" s="490"/>
    </row>
    <row r="160" spans="2:8" ht="15.75">
      <c r="B160" s="498"/>
      <c r="C160" s="490"/>
      <c r="D160" s="490"/>
      <c r="E160" s="490"/>
      <c r="F160" s="490"/>
      <c r="G160" s="490"/>
      <c r="H160" s="490"/>
    </row>
    <row r="161" spans="2:8" ht="15.75">
      <c r="B161" s="498"/>
      <c r="C161" s="490"/>
      <c r="D161" s="490"/>
      <c r="E161" s="490"/>
      <c r="F161" s="490"/>
      <c r="G161" s="490"/>
      <c r="H161" s="490"/>
    </row>
    <row r="162" spans="2:8" ht="15.75">
      <c r="B162" s="498"/>
      <c r="C162" s="490"/>
      <c r="D162" s="490"/>
      <c r="E162" s="490"/>
      <c r="F162" s="490"/>
      <c r="G162" s="490"/>
      <c r="H162" s="490"/>
    </row>
    <row r="163" spans="2:8" ht="15.75">
      <c r="B163" s="498"/>
      <c r="C163" s="490"/>
      <c r="D163" s="490"/>
      <c r="E163" s="490"/>
      <c r="F163" s="490"/>
      <c r="G163" s="490"/>
      <c r="H163" s="490"/>
    </row>
    <row r="164" spans="2:8" ht="15.75">
      <c r="B164" s="498"/>
      <c r="C164" s="490"/>
      <c r="D164" s="490"/>
      <c r="E164" s="490"/>
      <c r="F164" s="490"/>
      <c r="G164" s="490"/>
      <c r="H164" s="490"/>
    </row>
    <row r="165" spans="2:8" ht="15.75">
      <c r="B165" s="498"/>
      <c r="C165" s="490"/>
      <c r="D165" s="490"/>
      <c r="E165" s="490"/>
      <c r="F165" s="490"/>
      <c r="G165" s="490"/>
      <c r="H165" s="490"/>
    </row>
    <row r="166" spans="2:8" ht="15.75">
      <c r="B166" s="498"/>
      <c r="C166" s="490"/>
      <c r="D166" s="490"/>
      <c r="E166" s="490"/>
      <c r="F166" s="490"/>
      <c r="G166" s="490"/>
      <c r="H166" s="490"/>
    </row>
    <row r="167" spans="2:8" ht="15.75">
      <c r="B167" s="498"/>
      <c r="C167" s="490"/>
      <c r="D167" s="490"/>
      <c r="E167" s="490"/>
      <c r="F167" s="490"/>
      <c r="G167" s="490"/>
      <c r="H167" s="490"/>
    </row>
    <row r="168" spans="2:8" ht="15.75">
      <c r="B168" s="498"/>
      <c r="C168" s="490"/>
      <c r="D168" s="490"/>
      <c r="E168" s="490"/>
      <c r="F168" s="490"/>
      <c r="G168" s="490"/>
      <c r="H168" s="490"/>
    </row>
    <row r="169" spans="2:8" ht="15.75">
      <c r="B169" s="498"/>
      <c r="C169" s="490"/>
      <c r="D169" s="490"/>
      <c r="E169" s="490"/>
      <c r="F169" s="490"/>
      <c r="G169" s="490"/>
      <c r="H169" s="490"/>
    </row>
    <row r="170" spans="2:8" ht="15.75">
      <c r="B170" s="498"/>
      <c r="C170" s="490"/>
      <c r="D170" s="490"/>
      <c r="E170" s="490"/>
      <c r="F170" s="490"/>
      <c r="G170" s="490"/>
      <c r="H170" s="490"/>
    </row>
    <row r="171" spans="2:8" ht="15.75">
      <c r="B171" s="498"/>
      <c r="C171" s="490"/>
      <c r="D171" s="490"/>
      <c r="E171" s="490"/>
      <c r="F171" s="490"/>
      <c r="G171" s="490"/>
      <c r="H171" s="490"/>
    </row>
    <row r="172" spans="2:8" ht="15.75">
      <c r="B172" s="498"/>
      <c r="C172" s="490"/>
      <c r="D172" s="490"/>
      <c r="E172" s="490"/>
      <c r="F172" s="490"/>
      <c r="G172" s="490"/>
      <c r="H172" s="490"/>
    </row>
    <row r="173" spans="2:8" ht="15.75">
      <c r="B173" s="498"/>
      <c r="C173" s="490"/>
      <c r="D173" s="490"/>
      <c r="E173" s="490"/>
      <c r="F173" s="490"/>
      <c r="G173" s="490"/>
      <c r="H173" s="490"/>
    </row>
    <row r="174" spans="2:8" ht="15.75">
      <c r="B174" s="498"/>
      <c r="C174" s="490"/>
      <c r="D174" s="490"/>
      <c r="E174" s="490"/>
      <c r="F174" s="490"/>
      <c r="G174" s="490"/>
      <c r="H174" s="490"/>
    </row>
    <row r="175" spans="2:8" ht="15.75">
      <c r="B175" s="498"/>
      <c r="C175" s="490"/>
      <c r="D175" s="490"/>
      <c r="E175" s="490"/>
      <c r="F175" s="490"/>
      <c r="G175" s="490"/>
      <c r="H175" s="490"/>
    </row>
    <row r="176" spans="2:8" ht="15.75">
      <c r="B176" s="498"/>
      <c r="C176" s="490"/>
      <c r="D176" s="490"/>
      <c r="E176" s="490"/>
      <c r="F176" s="490"/>
      <c r="G176" s="490"/>
      <c r="H176" s="490"/>
    </row>
    <row r="177" spans="2:8" ht="15.75">
      <c r="B177" s="498"/>
      <c r="C177" s="490"/>
      <c r="D177" s="490"/>
      <c r="E177" s="490"/>
      <c r="F177" s="490"/>
      <c r="G177" s="490"/>
      <c r="H177" s="490"/>
    </row>
    <row r="178" spans="2:8" ht="15.75">
      <c r="B178" s="498"/>
      <c r="C178" s="490"/>
      <c r="D178" s="490"/>
      <c r="E178" s="490"/>
      <c r="F178" s="490"/>
      <c r="G178" s="490"/>
      <c r="H178" s="490"/>
    </row>
    <row r="179" spans="2:8" ht="15.75">
      <c r="B179" s="498"/>
      <c r="C179" s="490"/>
      <c r="D179" s="490"/>
      <c r="E179" s="490"/>
      <c r="F179" s="490"/>
      <c r="G179" s="490"/>
      <c r="H179" s="490"/>
    </row>
    <row r="180" spans="2:8" ht="15.75">
      <c r="B180" s="498"/>
      <c r="C180" s="490"/>
      <c r="D180" s="490"/>
      <c r="E180" s="490"/>
      <c r="F180" s="490"/>
      <c r="G180" s="490"/>
      <c r="H180" s="490"/>
    </row>
    <row r="181" spans="2:8" ht="15.75">
      <c r="B181" s="498"/>
      <c r="C181" s="490"/>
      <c r="D181" s="490"/>
      <c r="E181" s="490"/>
      <c r="F181" s="490"/>
      <c r="G181" s="490"/>
      <c r="H181" s="490"/>
    </row>
    <row r="182" spans="2:8" ht="15.75">
      <c r="B182" s="498"/>
      <c r="C182" s="490"/>
      <c r="D182" s="490"/>
      <c r="E182" s="490"/>
      <c r="F182" s="490"/>
      <c r="G182" s="490"/>
      <c r="H182" s="490"/>
    </row>
    <row r="183" spans="2:8" ht="15.75">
      <c r="B183" s="498"/>
      <c r="C183" s="490"/>
      <c r="D183" s="490"/>
      <c r="E183" s="490"/>
      <c r="F183" s="490"/>
      <c r="G183" s="490"/>
      <c r="H183" s="490"/>
    </row>
    <row r="184" spans="2:8" ht="15.75">
      <c r="B184" s="498"/>
      <c r="C184" s="490"/>
      <c r="D184" s="490"/>
      <c r="E184" s="490"/>
      <c r="F184" s="490"/>
      <c r="G184" s="490"/>
      <c r="H184" s="490"/>
    </row>
    <row r="185" spans="2:8" ht="15.75">
      <c r="B185" s="498"/>
      <c r="C185" s="490"/>
      <c r="D185" s="490"/>
      <c r="E185" s="490"/>
      <c r="F185" s="490"/>
      <c r="G185" s="490"/>
      <c r="H185" s="490"/>
    </row>
    <row r="186" spans="2:8" ht="15.75">
      <c r="B186" s="498"/>
      <c r="C186" s="490"/>
      <c r="D186" s="490"/>
      <c r="E186" s="490"/>
      <c r="F186" s="490"/>
      <c r="G186" s="490"/>
      <c r="H186" s="490"/>
    </row>
    <row r="187" spans="2:8" ht="15.75">
      <c r="B187" s="498"/>
      <c r="C187" s="490"/>
      <c r="D187" s="490"/>
      <c r="E187" s="490"/>
      <c r="F187" s="490"/>
      <c r="G187" s="490"/>
      <c r="H187" s="490"/>
    </row>
    <row r="188" spans="2:8" ht="15.75">
      <c r="B188" s="498"/>
      <c r="C188" s="490"/>
      <c r="D188" s="490"/>
      <c r="E188" s="490"/>
      <c r="F188" s="490"/>
      <c r="G188" s="490"/>
      <c r="H188" s="490"/>
    </row>
    <row r="189" spans="2:8" ht="15.75">
      <c r="B189" s="498"/>
      <c r="C189" s="490"/>
      <c r="D189" s="490"/>
      <c r="E189" s="490"/>
      <c r="F189" s="490"/>
      <c r="G189" s="490"/>
      <c r="H189" s="490"/>
    </row>
    <row r="190" spans="2:8" ht="15.75">
      <c r="B190" s="498"/>
      <c r="C190" s="490"/>
      <c r="D190" s="490"/>
      <c r="E190" s="490"/>
      <c r="F190" s="490"/>
      <c r="G190" s="490"/>
      <c r="H190" s="490"/>
    </row>
    <row r="191" spans="2:8" ht="15.75">
      <c r="B191" s="498"/>
      <c r="C191" s="490"/>
      <c r="D191" s="490"/>
      <c r="E191" s="490"/>
      <c r="F191" s="490"/>
      <c r="G191" s="490"/>
      <c r="H191" s="490"/>
    </row>
    <row r="192" spans="2:8" ht="15.75">
      <c r="B192" s="498"/>
      <c r="C192" s="490"/>
      <c r="D192" s="490"/>
      <c r="E192" s="490"/>
      <c r="F192" s="490"/>
      <c r="G192" s="490"/>
      <c r="H192" s="490"/>
    </row>
    <row r="193" spans="2:8" ht="15.75">
      <c r="B193" s="498"/>
      <c r="C193" s="490"/>
      <c r="D193" s="490"/>
      <c r="E193" s="490"/>
      <c r="F193" s="490"/>
      <c r="G193" s="490"/>
      <c r="H193" s="490"/>
    </row>
    <row r="194" spans="2:8" ht="15.75">
      <c r="B194" s="498"/>
      <c r="C194" s="490"/>
      <c r="D194" s="490"/>
      <c r="E194" s="490"/>
      <c r="F194" s="490"/>
      <c r="G194" s="490"/>
      <c r="H194" s="490"/>
    </row>
    <row r="195" spans="2:8" ht="15.75">
      <c r="B195" s="498"/>
      <c r="C195" s="490"/>
      <c r="D195" s="490"/>
      <c r="E195" s="490"/>
      <c r="F195" s="490"/>
      <c r="G195" s="490"/>
      <c r="H195" s="490"/>
    </row>
    <row r="196" spans="2:8" ht="15.75">
      <c r="B196" s="498"/>
      <c r="C196" s="490"/>
      <c r="D196" s="490"/>
      <c r="E196" s="490"/>
      <c r="F196" s="490"/>
      <c r="G196" s="490"/>
      <c r="H196" s="490"/>
    </row>
    <row r="197" spans="2:8" ht="15.75">
      <c r="B197" s="498"/>
      <c r="C197" s="490"/>
      <c r="D197" s="490"/>
      <c r="E197" s="490"/>
      <c r="F197" s="490"/>
      <c r="G197" s="490"/>
      <c r="H197" s="490"/>
    </row>
    <row r="198" spans="2:8" ht="15.75">
      <c r="B198" s="498"/>
      <c r="C198" s="490"/>
      <c r="D198" s="490"/>
      <c r="E198" s="490"/>
      <c r="F198" s="490"/>
      <c r="G198" s="490"/>
      <c r="H198" s="490"/>
    </row>
    <row r="199" spans="2:8" ht="15.75">
      <c r="B199" s="498"/>
      <c r="C199" s="490"/>
      <c r="D199" s="490"/>
      <c r="E199" s="490"/>
      <c r="F199" s="490"/>
      <c r="G199" s="490"/>
      <c r="H199" s="490"/>
    </row>
    <row r="200" spans="2:8" ht="15.75">
      <c r="B200" s="498"/>
      <c r="C200" s="490"/>
      <c r="D200" s="490"/>
      <c r="E200" s="490"/>
      <c r="F200" s="490"/>
      <c r="G200" s="490"/>
      <c r="H200" s="490"/>
    </row>
    <row r="201" spans="2:8" ht="15.75">
      <c r="B201" s="498"/>
      <c r="C201" s="490"/>
      <c r="D201" s="490"/>
      <c r="E201" s="490"/>
      <c r="F201" s="490"/>
      <c r="G201" s="490"/>
      <c r="H201" s="490"/>
    </row>
    <row r="202" spans="2:8" ht="15.75">
      <c r="B202" s="498"/>
      <c r="C202" s="490"/>
      <c r="D202" s="490"/>
      <c r="E202" s="490"/>
      <c r="F202" s="490"/>
      <c r="G202" s="490"/>
      <c r="H202" s="490"/>
    </row>
    <row r="203" spans="2:8" ht="15.75">
      <c r="B203" s="498"/>
      <c r="C203" s="490"/>
      <c r="D203" s="490"/>
      <c r="E203" s="490"/>
      <c r="F203" s="490"/>
      <c r="G203" s="490"/>
      <c r="H203" s="490"/>
    </row>
    <row r="204" spans="2:8" ht="15.75">
      <c r="B204" s="498"/>
      <c r="C204" s="490"/>
      <c r="D204" s="490"/>
      <c r="E204" s="490"/>
      <c r="F204" s="490"/>
      <c r="G204" s="490"/>
      <c r="H204" s="490"/>
    </row>
    <row r="205" spans="2:8" ht="15.75">
      <c r="B205" s="498"/>
      <c r="C205" s="490"/>
      <c r="D205" s="490"/>
      <c r="E205" s="490"/>
      <c r="F205" s="490"/>
      <c r="G205" s="490"/>
      <c r="H205" s="490"/>
    </row>
    <row r="206" spans="2:8" ht="15.75">
      <c r="B206" s="498"/>
      <c r="C206" s="490"/>
      <c r="D206" s="490"/>
      <c r="E206" s="490"/>
      <c r="F206" s="490"/>
      <c r="G206" s="490"/>
      <c r="H206" s="490"/>
    </row>
    <row r="207" spans="2:8" ht="15.75">
      <c r="B207" s="498"/>
      <c r="C207" s="490"/>
      <c r="D207" s="490"/>
      <c r="E207" s="490"/>
      <c r="F207" s="490"/>
      <c r="G207" s="490"/>
      <c r="H207" s="490"/>
    </row>
    <row r="208" spans="2:8" ht="15.75">
      <c r="B208" s="498"/>
      <c r="C208" s="490"/>
      <c r="D208" s="490"/>
      <c r="E208" s="490"/>
      <c r="F208" s="490"/>
      <c r="G208" s="490"/>
      <c r="H208" s="490"/>
    </row>
    <row r="209" spans="2:8" ht="15.75">
      <c r="B209" s="498"/>
      <c r="C209" s="490"/>
      <c r="D209" s="490"/>
      <c r="E209" s="490"/>
      <c r="F209" s="490"/>
      <c r="G209" s="490"/>
      <c r="H209" s="490"/>
    </row>
    <row r="210" spans="2:8" ht="15.75">
      <c r="B210" s="498"/>
      <c r="C210" s="490"/>
      <c r="D210" s="490"/>
      <c r="E210" s="490"/>
      <c r="F210" s="490"/>
      <c r="G210" s="490"/>
      <c r="H210" s="490"/>
    </row>
    <row r="211" spans="2:8" ht="15.75">
      <c r="B211" s="498"/>
      <c r="C211" s="490"/>
      <c r="D211" s="490"/>
      <c r="E211" s="490"/>
      <c r="F211" s="490"/>
      <c r="G211" s="490"/>
      <c r="H211" s="490"/>
    </row>
    <row r="212" spans="2:8" ht="15.75">
      <c r="B212" s="498"/>
      <c r="C212" s="490"/>
      <c r="D212" s="490"/>
      <c r="E212" s="490"/>
      <c r="F212" s="490"/>
      <c r="G212" s="490"/>
      <c r="H212" s="490"/>
    </row>
    <row r="213" spans="2:8" ht="15.75">
      <c r="B213" s="498"/>
      <c r="C213" s="490"/>
      <c r="D213" s="490"/>
      <c r="E213" s="490"/>
      <c r="F213" s="490"/>
      <c r="G213" s="490"/>
      <c r="H213" s="490"/>
    </row>
    <row r="214" spans="2:8" ht="15.75">
      <c r="B214" s="498"/>
      <c r="C214" s="490"/>
      <c r="D214" s="490"/>
      <c r="E214" s="490"/>
      <c r="F214" s="490"/>
      <c r="G214" s="490"/>
      <c r="H214" s="490"/>
    </row>
    <row r="215" spans="2:8" ht="15.75">
      <c r="B215" s="498"/>
      <c r="C215" s="490"/>
      <c r="D215" s="490"/>
      <c r="E215" s="490"/>
      <c r="F215" s="490"/>
      <c r="G215" s="490"/>
      <c r="H215" s="490"/>
    </row>
    <row r="216" spans="2:8" ht="15.75">
      <c r="B216" s="498"/>
      <c r="C216" s="490"/>
      <c r="D216" s="490"/>
      <c r="E216" s="490"/>
      <c r="F216" s="490"/>
      <c r="G216" s="490"/>
      <c r="H216" s="490"/>
    </row>
    <row r="217" spans="2:8" ht="15.75">
      <c r="B217" s="498"/>
      <c r="C217" s="490"/>
      <c r="D217" s="490"/>
      <c r="E217" s="490"/>
      <c r="F217" s="490"/>
      <c r="G217" s="490"/>
      <c r="H217" s="490"/>
    </row>
    <row r="218" spans="2:8" ht="15.75">
      <c r="B218" s="498"/>
      <c r="C218" s="490"/>
      <c r="D218" s="490"/>
      <c r="E218" s="490"/>
      <c r="F218" s="490"/>
      <c r="G218" s="490"/>
      <c r="H218" s="490"/>
    </row>
    <row r="219" spans="2:8" ht="15.75">
      <c r="B219" s="498"/>
      <c r="C219" s="490"/>
      <c r="D219" s="490"/>
      <c r="E219" s="490"/>
      <c r="F219" s="490"/>
      <c r="G219" s="490"/>
      <c r="H219" s="490"/>
    </row>
    <row r="220" spans="2:8" ht="15.75">
      <c r="B220" s="498"/>
      <c r="C220" s="490"/>
      <c r="D220" s="490"/>
      <c r="E220" s="490"/>
      <c r="F220" s="490"/>
      <c r="G220" s="490"/>
      <c r="H220" s="490"/>
    </row>
    <row r="221" spans="2:8" ht="15.75">
      <c r="B221" s="498"/>
      <c r="C221" s="490"/>
      <c r="D221" s="490"/>
      <c r="E221" s="490"/>
      <c r="F221" s="490"/>
      <c r="G221" s="490"/>
      <c r="H221" s="490"/>
    </row>
    <row r="222" spans="2:8" ht="15.75">
      <c r="B222" s="498"/>
      <c r="C222" s="490"/>
      <c r="D222" s="490"/>
      <c r="E222" s="490"/>
      <c r="F222" s="490"/>
      <c r="G222" s="490"/>
      <c r="H222" s="490"/>
    </row>
    <row r="223" spans="2:8" ht="15.75">
      <c r="B223" s="498"/>
      <c r="C223" s="490"/>
      <c r="D223" s="490"/>
      <c r="E223" s="490"/>
      <c r="F223" s="490"/>
      <c r="G223" s="490"/>
      <c r="H223" s="490"/>
    </row>
    <row r="224" spans="2:8" ht="15.75">
      <c r="B224" s="498"/>
      <c r="C224" s="490"/>
      <c r="D224" s="490"/>
      <c r="E224" s="490"/>
      <c r="F224" s="490"/>
      <c r="G224" s="490"/>
      <c r="H224" s="490"/>
    </row>
    <row r="225" spans="2:9" ht="15.75">
      <c r="B225" s="498"/>
      <c r="C225" s="490"/>
      <c r="D225" s="490"/>
      <c r="E225" s="490"/>
      <c r="F225" s="490"/>
      <c r="G225" s="490"/>
      <c r="H225" s="490"/>
    </row>
    <row r="226" spans="2:9" ht="15.75">
      <c r="B226" s="498"/>
      <c r="C226" s="490"/>
      <c r="D226" s="490"/>
      <c r="E226" s="490"/>
      <c r="F226" s="490"/>
      <c r="G226" s="490"/>
      <c r="H226" s="490"/>
    </row>
    <row r="227" spans="2:9" ht="15.75">
      <c r="B227" s="498"/>
      <c r="C227" s="490"/>
      <c r="D227" s="490"/>
      <c r="E227" s="490"/>
      <c r="F227" s="490"/>
      <c r="G227" s="490"/>
      <c r="H227" s="490"/>
    </row>
    <row r="228" spans="2:9" ht="15.75">
      <c r="B228" s="498"/>
      <c r="C228" s="490"/>
      <c r="D228" s="490"/>
      <c r="E228" s="490"/>
      <c r="F228" s="490"/>
      <c r="G228" s="490"/>
      <c r="H228" s="490"/>
      <c r="I228" s="861"/>
    </row>
    <row r="229" spans="2:9" ht="15.75">
      <c r="B229" s="498"/>
      <c r="C229" s="490"/>
      <c r="D229" s="490"/>
      <c r="E229" s="490"/>
      <c r="F229" s="490"/>
      <c r="G229" s="490"/>
      <c r="H229" s="490"/>
    </row>
    <row r="230" spans="2:9" ht="15.75">
      <c r="B230" s="498"/>
      <c r="C230" s="490"/>
      <c r="D230" s="490"/>
      <c r="E230" s="490"/>
      <c r="F230" s="490"/>
      <c r="G230" s="490"/>
      <c r="H230" s="490"/>
    </row>
    <row r="231" spans="2:9" ht="15.75">
      <c r="B231" s="498"/>
      <c r="C231" s="490"/>
      <c r="D231" s="490"/>
      <c r="E231" s="490"/>
      <c r="F231" s="490"/>
      <c r="G231" s="490"/>
      <c r="H231" s="490"/>
    </row>
    <row r="232" spans="2:9" ht="15.75">
      <c r="B232" s="498"/>
      <c r="C232" s="490"/>
      <c r="D232" s="490"/>
      <c r="E232" s="490"/>
      <c r="F232" s="490"/>
      <c r="G232" s="490"/>
      <c r="H232" s="490"/>
    </row>
    <row r="233" spans="2:9" ht="15.75">
      <c r="B233" s="498"/>
      <c r="C233" s="490"/>
      <c r="D233" s="490"/>
      <c r="E233" s="490"/>
      <c r="F233" s="490"/>
      <c r="G233" s="490"/>
      <c r="H233" s="490"/>
    </row>
    <row r="234" spans="2:9" ht="15.75">
      <c r="B234" s="498"/>
      <c r="C234" s="490"/>
      <c r="D234" s="490"/>
      <c r="E234" s="490"/>
      <c r="F234" s="490"/>
      <c r="G234" s="490"/>
      <c r="H234" s="490"/>
    </row>
    <row r="235" spans="2:9" ht="15.75">
      <c r="B235" s="498"/>
      <c r="C235" s="490"/>
      <c r="D235" s="490"/>
      <c r="E235" s="490"/>
      <c r="F235" s="490"/>
      <c r="G235" s="490"/>
      <c r="H235" s="490"/>
    </row>
    <row r="236" spans="2:9" ht="15.75">
      <c r="B236" s="498"/>
      <c r="C236" s="490"/>
      <c r="D236" s="490"/>
      <c r="E236" s="490"/>
      <c r="F236" s="490"/>
      <c r="G236" s="490"/>
      <c r="H236" s="490"/>
    </row>
    <row r="237" spans="2:9" ht="15.75">
      <c r="B237" s="498"/>
      <c r="C237" s="490"/>
      <c r="D237" s="490"/>
      <c r="E237" s="490"/>
      <c r="F237" s="490"/>
      <c r="G237" s="490"/>
      <c r="H237" s="490"/>
    </row>
    <row r="238" spans="2:9" ht="15.75">
      <c r="B238" s="498"/>
      <c r="C238" s="490"/>
      <c r="D238" s="490"/>
      <c r="E238" s="490"/>
      <c r="F238" s="490"/>
      <c r="G238" s="490"/>
      <c r="H238" s="490"/>
    </row>
    <row r="239" spans="2:9" ht="15.75">
      <c r="B239" s="498"/>
      <c r="C239" s="490"/>
      <c r="D239" s="490"/>
      <c r="E239" s="490"/>
      <c r="F239" s="490"/>
      <c r="G239" s="490"/>
      <c r="H239" s="490"/>
    </row>
    <row r="240" spans="2:9" ht="15.75">
      <c r="B240" s="498"/>
      <c r="C240" s="490"/>
      <c r="D240" s="490"/>
      <c r="E240" s="490"/>
      <c r="F240" s="490"/>
      <c r="G240" s="490"/>
      <c r="H240" s="490"/>
    </row>
    <row r="241" spans="2:8" ht="15.75">
      <c r="B241" s="498"/>
      <c r="C241" s="490"/>
      <c r="D241" s="490"/>
      <c r="E241" s="490"/>
      <c r="F241" s="490"/>
      <c r="G241" s="490"/>
      <c r="H241" s="490"/>
    </row>
    <row r="242" spans="2:8" ht="15.75">
      <c r="B242" s="498"/>
      <c r="C242" s="490"/>
      <c r="D242" s="490"/>
      <c r="E242" s="490"/>
      <c r="F242" s="490"/>
      <c r="G242" s="490"/>
      <c r="H242" s="490"/>
    </row>
    <row r="243" spans="2:8" ht="15.75">
      <c r="B243" s="498"/>
      <c r="C243" s="490"/>
      <c r="D243" s="490"/>
      <c r="E243" s="490"/>
      <c r="F243" s="490"/>
      <c r="G243" s="490"/>
      <c r="H243" s="490"/>
    </row>
    <row r="244" spans="2:8" ht="15.75">
      <c r="B244" s="498"/>
      <c r="C244" s="490"/>
      <c r="D244" s="490"/>
      <c r="E244" s="490"/>
      <c r="F244" s="490"/>
      <c r="G244" s="490"/>
      <c r="H244" s="490"/>
    </row>
    <row r="245" spans="2:8" ht="15.75">
      <c r="B245" s="498"/>
      <c r="C245" s="490"/>
      <c r="D245" s="490"/>
      <c r="E245" s="490"/>
      <c r="F245" s="490"/>
      <c r="G245" s="490"/>
      <c r="H245" s="490"/>
    </row>
    <row r="246" spans="2:8" ht="15.75">
      <c r="B246" s="498"/>
      <c r="C246" s="490"/>
      <c r="D246" s="490"/>
      <c r="E246" s="490"/>
      <c r="F246" s="490"/>
      <c r="G246" s="490"/>
      <c r="H246" s="490"/>
    </row>
    <row r="247" spans="2:8" ht="15.75">
      <c r="B247" s="498"/>
      <c r="C247" s="490"/>
      <c r="D247" s="490"/>
      <c r="E247" s="490"/>
      <c r="F247" s="490"/>
      <c r="G247" s="490"/>
      <c r="H247" s="490"/>
    </row>
    <row r="248" spans="2:8" ht="15.75">
      <c r="B248" s="498"/>
      <c r="C248" s="490"/>
      <c r="D248" s="490"/>
      <c r="E248" s="490"/>
      <c r="F248" s="490"/>
      <c r="G248" s="490"/>
      <c r="H248" s="490"/>
    </row>
    <row r="249" spans="2:8" ht="15.75">
      <c r="B249" s="498"/>
      <c r="C249" s="490"/>
      <c r="D249" s="490"/>
      <c r="E249" s="490"/>
      <c r="F249" s="490"/>
      <c r="G249" s="490"/>
      <c r="H249" s="490"/>
    </row>
    <row r="250" spans="2:8" ht="15.75">
      <c r="B250" s="498"/>
      <c r="C250" s="490"/>
      <c r="D250" s="490"/>
      <c r="E250" s="490"/>
      <c r="F250" s="490"/>
      <c r="G250" s="490"/>
      <c r="H250" s="490"/>
    </row>
    <row r="251" spans="2:8" ht="15.75">
      <c r="B251" s="498"/>
      <c r="C251" s="490"/>
      <c r="D251" s="490"/>
      <c r="E251" s="490"/>
      <c r="F251" s="490"/>
      <c r="G251" s="490"/>
      <c r="H251" s="490"/>
    </row>
    <row r="252" spans="2:8" ht="15.75">
      <c r="B252" s="498"/>
      <c r="C252" s="490"/>
      <c r="D252" s="490"/>
      <c r="E252" s="490"/>
      <c r="F252" s="490"/>
      <c r="G252" s="490"/>
      <c r="H252" s="490"/>
    </row>
    <row r="253" spans="2:8" ht="15.75">
      <c r="B253" s="498"/>
      <c r="C253" s="490"/>
      <c r="D253" s="490"/>
      <c r="E253" s="490"/>
      <c r="F253" s="490"/>
      <c r="G253" s="490"/>
      <c r="H253" s="490"/>
    </row>
    <row r="254" spans="2:8" ht="15.75">
      <c r="B254" s="498"/>
      <c r="C254" s="490"/>
      <c r="D254" s="490"/>
      <c r="E254" s="490"/>
      <c r="F254" s="490"/>
      <c r="G254" s="490"/>
      <c r="H254" s="490"/>
    </row>
    <row r="255" spans="2:8" ht="15.75">
      <c r="B255" s="498"/>
      <c r="C255" s="490"/>
      <c r="D255" s="490"/>
      <c r="E255" s="490"/>
      <c r="F255" s="490"/>
      <c r="G255" s="490"/>
      <c r="H255" s="490"/>
    </row>
    <row r="256" spans="2:8" ht="15.75">
      <c r="B256" s="498"/>
      <c r="C256" s="490"/>
      <c r="D256" s="490"/>
      <c r="E256" s="490"/>
      <c r="F256" s="490"/>
      <c r="G256" s="490"/>
      <c r="H256" s="490"/>
    </row>
    <row r="257" spans="2:8" ht="15.75">
      <c r="B257" s="498"/>
      <c r="C257" s="490"/>
      <c r="D257" s="490"/>
      <c r="E257" s="490"/>
      <c r="F257" s="490"/>
      <c r="G257" s="490"/>
      <c r="H257" s="490"/>
    </row>
    <row r="258" spans="2:8" ht="15.75">
      <c r="B258" s="498"/>
      <c r="C258" s="490"/>
      <c r="D258" s="490"/>
      <c r="E258" s="490"/>
      <c r="F258" s="490"/>
      <c r="G258" s="490"/>
      <c r="H258" s="490"/>
    </row>
    <row r="259" spans="2:8" ht="15.75">
      <c r="B259" s="498"/>
      <c r="C259" s="490"/>
      <c r="D259" s="490"/>
      <c r="E259" s="490"/>
      <c r="F259" s="490"/>
      <c r="G259" s="490"/>
      <c r="H259" s="490"/>
    </row>
    <row r="260" spans="2:8" ht="15.75">
      <c r="B260" s="498"/>
      <c r="C260" s="490"/>
      <c r="D260" s="490"/>
      <c r="E260" s="490"/>
      <c r="F260" s="490"/>
      <c r="G260" s="490"/>
      <c r="H260" s="490"/>
    </row>
    <row r="261" spans="2:8" ht="15.75">
      <c r="B261" s="498"/>
      <c r="C261" s="490"/>
      <c r="D261" s="490"/>
      <c r="E261" s="490"/>
      <c r="F261" s="490"/>
      <c r="G261" s="490"/>
      <c r="H261" s="490"/>
    </row>
    <row r="262" spans="2:8" ht="15.75">
      <c r="B262" s="498"/>
      <c r="C262" s="490"/>
      <c r="D262" s="490"/>
      <c r="E262" s="490"/>
      <c r="F262" s="490"/>
      <c r="G262" s="490"/>
      <c r="H262" s="490"/>
    </row>
    <row r="263" spans="2:8" ht="15.75">
      <c r="B263" s="498"/>
      <c r="C263" s="490"/>
      <c r="D263" s="490"/>
      <c r="E263" s="490"/>
      <c r="F263" s="490"/>
      <c r="G263" s="490"/>
      <c r="H263" s="490"/>
    </row>
    <row r="264" spans="2:8" ht="15.75">
      <c r="B264" s="498"/>
      <c r="C264" s="490"/>
      <c r="D264" s="490"/>
      <c r="E264" s="490"/>
      <c r="F264" s="490"/>
      <c r="G264" s="490"/>
      <c r="H264" s="490"/>
    </row>
    <row r="265" spans="2:8" ht="15.75">
      <c r="B265" s="498"/>
      <c r="C265" s="490"/>
      <c r="D265" s="490"/>
      <c r="E265" s="490"/>
      <c r="F265" s="490"/>
      <c r="G265" s="490"/>
      <c r="H265" s="490"/>
    </row>
    <row r="266" spans="2:8" ht="15.75">
      <c r="B266" s="498"/>
      <c r="C266" s="490"/>
      <c r="D266" s="490"/>
      <c r="E266" s="490"/>
      <c r="F266" s="490"/>
      <c r="G266" s="490"/>
      <c r="H266" s="490"/>
    </row>
    <row r="267" spans="2:8" ht="15.75">
      <c r="B267" s="498"/>
      <c r="C267" s="490"/>
      <c r="D267" s="490"/>
      <c r="E267" s="490"/>
      <c r="F267" s="490"/>
      <c r="G267" s="490"/>
      <c r="H267" s="490"/>
    </row>
    <row r="268" spans="2:8" ht="15.75">
      <c r="B268" s="498"/>
      <c r="C268" s="490"/>
      <c r="D268" s="490"/>
      <c r="E268" s="490"/>
      <c r="F268" s="490"/>
      <c r="G268" s="490"/>
      <c r="H268" s="490"/>
    </row>
    <row r="269" spans="2:8" ht="15.75">
      <c r="B269" s="498"/>
      <c r="C269" s="490"/>
      <c r="D269" s="490"/>
      <c r="E269" s="490"/>
      <c r="F269" s="490"/>
      <c r="G269" s="490"/>
      <c r="H269" s="490"/>
    </row>
    <row r="270" spans="2:8" ht="15.75">
      <c r="B270" s="498"/>
      <c r="C270" s="490"/>
      <c r="D270" s="490"/>
      <c r="E270" s="490"/>
      <c r="F270" s="490"/>
      <c r="G270" s="490"/>
      <c r="H270" s="490"/>
    </row>
    <row r="271" spans="2:8" ht="15.75">
      <c r="B271" s="498"/>
      <c r="C271" s="490"/>
      <c r="D271" s="490"/>
      <c r="E271" s="490"/>
      <c r="F271" s="490"/>
      <c r="G271" s="490"/>
      <c r="H271" s="490"/>
    </row>
    <row r="272" spans="2:8" ht="15.75">
      <c r="B272" s="498"/>
      <c r="C272" s="490"/>
      <c r="D272" s="490"/>
      <c r="E272" s="490"/>
      <c r="F272" s="490"/>
      <c r="G272" s="490"/>
      <c r="H272" s="490"/>
    </row>
    <row r="273" spans="2:8" ht="15.75">
      <c r="B273" s="498"/>
      <c r="C273" s="490"/>
      <c r="D273" s="490"/>
      <c r="E273" s="490"/>
      <c r="F273" s="490"/>
      <c r="G273" s="490"/>
      <c r="H273" s="490"/>
    </row>
    <row r="274" spans="2:8" ht="15.75">
      <c r="B274" s="498"/>
      <c r="C274" s="490"/>
      <c r="D274" s="490"/>
      <c r="E274" s="490"/>
      <c r="F274" s="490"/>
      <c r="G274" s="490"/>
      <c r="H274" s="490"/>
    </row>
    <row r="275" spans="2:8" ht="15.75">
      <c r="B275" s="498"/>
      <c r="C275" s="490"/>
      <c r="D275" s="490"/>
      <c r="E275" s="490"/>
      <c r="F275" s="490"/>
      <c r="G275" s="490"/>
      <c r="H275" s="490"/>
    </row>
    <row r="276" spans="2:8" ht="15.75">
      <c r="B276" s="498"/>
      <c r="C276" s="490"/>
      <c r="D276" s="490"/>
      <c r="E276" s="490"/>
      <c r="F276" s="490"/>
      <c r="G276" s="490"/>
      <c r="H276" s="490"/>
    </row>
    <row r="277" spans="2:8" ht="15.75">
      <c r="B277" s="498"/>
      <c r="C277" s="490"/>
      <c r="D277" s="490"/>
      <c r="E277" s="490"/>
      <c r="F277" s="490"/>
      <c r="G277" s="490"/>
      <c r="H277" s="490"/>
    </row>
    <row r="278" spans="2:8" ht="15.75">
      <c r="B278" s="498"/>
      <c r="C278" s="490"/>
      <c r="D278" s="490"/>
      <c r="E278" s="490"/>
      <c r="F278" s="490"/>
      <c r="G278" s="490"/>
      <c r="H278" s="490"/>
    </row>
    <row r="279" spans="2:8" ht="15.75">
      <c r="B279" s="498"/>
      <c r="C279" s="490"/>
      <c r="D279" s="490"/>
      <c r="E279" s="490"/>
      <c r="F279" s="490"/>
      <c r="G279" s="490"/>
      <c r="H279" s="490"/>
    </row>
    <row r="280" spans="2:8" ht="15.75">
      <c r="B280" s="498"/>
      <c r="C280" s="490"/>
      <c r="D280" s="490"/>
      <c r="E280" s="490"/>
      <c r="F280" s="490"/>
      <c r="G280" s="490"/>
      <c r="H280" s="490"/>
    </row>
    <row r="281" spans="2:8" ht="15.75">
      <c r="B281" s="498"/>
      <c r="C281" s="490"/>
      <c r="D281" s="490"/>
      <c r="E281" s="490"/>
      <c r="F281" s="490"/>
      <c r="G281" s="490"/>
      <c r="H281" s="490"/>
    </row>
    <row r="282" spans="2:8" ht="15.75">
      <c r="B282" s="498"/>
      <c r="C282" s="490"/>
      <c r="D282" s="490"/>
      <c r="E282" s="490"/>
      <c r="F282" s="490"/>
      <c r="G282" s="490"/>
      <c r="H282" s="490"/>
    </row>
    <row r="283" spans="2:8" ht="15.75">
      <c r="B283" s="498"/>
      <c r="C283" s="490"/>
      <c r="D283" s="490"/>
      <c r="E283" s="490"/>
      <c r="F283" s="490"/>
      <c r="G283" s="490"/>
      <c r="H283" s="490"/>
    </row>
    <row r="284" spans="2:8" ht="15.75">
      <c r="B284" s="498"/>
      <c r="C284" s="490"/>
      <c r="D284" s="490"/>
      <c r="E284" s="490"/>
      <c r="F284" s="490"/>
      <c r="G284" s="490"/>
      <c r="H284" s="490"/>
    </row>
    <row r="285" spans="2:8" ht="15.75">
      <c r="B285" s="498"/>
      <c r="C285" s="490"/>
      <c r="D285" s="490"/>
      <c r="E285" s="490"/>
      <c r="F285" s="490"/>
      <c r="G285" s="490"/>
      <c r="H285" s="490"/>
    </row>
    <row r="286" spans="2:8" ht="15.75">
      <c r="B286" s="498"/>
      <c r="C286" s="490"/>
      <c r="D286" s="490"/>
      <c r="E286" s="490"/>
      <c r="F286" s="490"/>
      <c r="G286" s="490"/>
      <c r="H286" s="490"/>
    </row>
    <row r="287" spans="2:8" ht="15.75">
      <c r="B287" s="498"/>
      <c r="C287" s="490"/>
      <c r="D287" s="490"/>
      <c r="E287" s="490"/>
      <c r="F287" s="490"/>
      <c r="G287" s="490"/>
      <c r="H287" s="490"/>
    </row>
    <row r="288" spans="2:8" ht="15.75">
      <c r="B288" s="498"/>
      <c r="C288" s="490"/>
      <c r="D288" s="490"/>
      <c r="E288" s="490"/>
      <c r="F288" s="490"/>
      <c r="G288" s="490"/>
      <c r="H288" s="490"/>
    </row>
    <row r="289" spans="2:8" ht="15.75">
      <c r="B289" s="498"/>
      <c r="C289" s="490"/>
      <c r="D289" s="490"/>
      <c r="E289" s="490"/>
      <c r="F289" s="490"/>
      <c r="G289" s="490"/>
      <c r="H289" s="490"/>
    </row>
    <row r="290" spans="2:8" ht="15.75">
      <c r="B290" s="498"/>
      <c r="C290" s="490"/>
      <c r="D290" s="490"/>
      <c r="E290" s="490"/>
      <c r="F290" s="490"/>
      <c r="G290" s="490"/>
      <c r="H290" s="490"/>
    </row>
    <row r="291" spans="2:8" ht="15.75">
      <c r="B291" s="498"/>
      <c r="C291" s="490"/>
      <c r="D291" s="490"/>
      <c r="E291" s="490"/>
      <c r="F291" s="490"/>
      <c r="G291" s="490"/>
      <c r="H291" s="490"/>
    </row>
    <row r="292" spans="2:8" ht="15.75">
      <c r="B292" s="498"/>
      <c r="C292" s="490"/>
      <c r="D292" s="490"/>
      <c r="E292" s="490"/>
      <c r="F292" s="490"/>
      <c r="G292" s="490"/>
      <c r="H292" s="490"/>
    </row>
    <row r="293" spans="2:8" ht="15.75">
      <c r="B293" s="498"/>
      <c r="C293" s="490"/>
      <c r="D293" s="490"/>
      <c r="E293" s="490"/>
      <c r="F293" s="490"/>
      <c r="G293" s="490"/>
      <c r="H293" s="490"/>
    </row>
    <row r="294" spans="2:8" ht="15.75">
      <c r="B294" s="498"/>
      <c r="C294" s="490"/>
      <c r="D294" s="490"/>
      <c r="E294" s="490"/>
      <c r="F294" s="490"/>
      <c r="G294" s="490"/>
      <c r="H294" s="490"/>
    </row>
    <row r="295" spans="2:8" ht="15.75">
      <c r="B295" s="498"/>
      <c r="C295" s="490"/>
      <c r="D295" s="490"/>
      <c r="E295" s="490"/>
      <c r="F295" s="490"/>
      <c r="G295" s="490"/>
      <c r="H295" s="490"/>
    </row>
    <row r="296" spans="2:8" ht="15.75">
      <c r="B296" s="498"/>
      <c r="C296" s="490"/>
      <c r="D296" s="490"/>
      <c r="E296" s="490"/>
      <c r="F296" s="490"/>
      <c r="G296" s="490"/>
      <c r="H296" s="490"/>
    </row>
    <row r="297" spans="2:8" ht="15.75">
      <c r="B297" s="498"/>
      <c r="C297" s="490"/>
      <c r="D297" s="490"/>
      <c r="E297" s="490"/>
      <c r="F297" s="490"/>
      <c r="G297" s="490"/>
      <c r="H297" s="490"/>
    </row>
    <row r="298" spans="2:8" ht="15.75">
      <c r="B298" s="498"/>
      <c r="C298" s="490"/>
      <c r="D298" s="490"/>
      <c r="E298" s="490"/>
      <c r="F298" s="490"/>
      <c r="G298" s="490"/>
      <c r="H298" s="490"/>
    </row>
    <row r="299" spans="2:8" ht="15.75">
      <c r="B299" s="498"/>
      <c r="C299" s="490"/>
      <c r="D299" s="490"/>
      <c r="E299" s="490"/>
      <c r="F299" s="490"/>
      <c r="G299" s="490"/>
      <c r="H299" s="490"/>
    </row>
    <row r="300" spans="2:8" ht="15.75">
      <c r="B300" s="498"/>
      <c r="C300" s="490"/>
      <c r="D300" s="490"/>
      <c r="E300" s="490"/>
      <c r="F300" s="490"/>
      <c r="G300" s="490"/>
      <c r="H300" s="490"/>
    </row>
    <row r="301" spans="2:8" ht="15.75">
      <c r="B301" s="498"/>
      <c r="C301" s="490"/>
      <c r="D301" s="490"/>
      <c r="E301" s="490"/>
      <c r="F301" s="490"/>
      <c r="G301" s="490"/>
      <c r="H301" s="490"/>
    </row>
    <row r="302" spans="2:8" ht="15.75">
      <c r="B302" s="498"/>
      <c r="C302" s="490"/>
      <c r="D302" s="490"/>
      <c r="E302" s="490"/>
      <c r="F302" s="490"/>
      <c r="G302" s="490"/>
      <c r="H302" s="490"/>
    </row>
    <row r="303" spans="2:8" ht="15.75">
      <c r="B303" s="498"/>
      <c r="C303" s="490"/>
      <c r="D303" s="490"/>
      <c r="E303" s="490"/>
      <c r="F303" s="490"/>
      <c r="G303" s="490"/>
      <c r="H303" s="490"/>
    </row>
    <row r="304" spans="2:8">
      <c r="B304" s="463"/>
      <c r="C304" s="461"/>
      <c r="D304" s="461"/>
      <c r="E304" s="461"/>
      <c r="F304" s="461"/>
      <c r="G304" s="461"/>
      <c r="H304" s="461"/>
    </row>
    <row r="305" spans="2:8">
      <c r="B305" s="463"/>
      <c r="C305" s="461"/>
      <c r="D305" s="461"/>
      <c r="E305" s="461"/>
      <c r="F305" s="461"/>
      <c r="G305" s="461"/>
      <c r="H305" s="461"/>
    </row>
    <row r="306" spans="2:8">
      <c r="B306" s="463"/>
      <c r="C306" s="461"/>
      <c r="D306" s="461"/>
      <c r="E306" s="461"/>
      <c r="F306" s="461"/>
      <c r="G306" s="461"/>
      <c r="H306" s="461"/>
    </row>
    <row r="307" spans="2:8">
      <c r="B307" s="463"/>
      <c r="C307" s="461"/>
      <c r="D307" s="461"/>
      <c r="E307" s="461"/>
      <c r="F307" s="461"/>
      <c r="G307" s="461"/>
      <c r="H307" s="461"/>
    </row>
    <row r="308" spans="2:8">
      <c r="B308" s="463"/>
      <c r="C308" s="461"/>
      <c r="D308" s="461"/>
      <c r="E308" s="461"/>
      <c r="F308" s="461"/>
      <c r="G308" s="461"/>
      <c r="H308" s="461"/>
    </row>
    <row r="309" spans="2:8">
      <c r="B309" s="463"/>
      <c r="C309" s="461"/>
      <c r="D309" s="461"/>
      <c r="E309" s="461"/>
      <c r="F309" s="461"/>
      <c r="G309" s="461"/>
      <c r="H309" s="461"/>
    </row>
    <row r="310" spans="2:8">
      <c r="B310" s="463"/>
      <c r="C310" s="461"/>
      <c r="D310" s="461"/>
      <c r="E310" s="461"/>
      <c r="F310" s="461"/>
      <c r="G310" s="461"/>
      <c r="H310" s="461"/>
    </row>
    <row r="311" spans="2:8">
      <c r="B311" s="463"/>
      <c r="C311" s="461"/>
      <c r="D311" s="461"/>
      <c r="E311" s="461"/>
      <c r="F311" s="461"/>
      <c r="G311" s="461"/>
      <c r="H311" s="461"/>
    </row>
    <row r="312" spans="2:8">
      <c r="B312" s="463"/>
      <c r="C312" s="461"/>
      <c r="D312" s="461"/>
      <c r="E312" s="461"/>
      <c r="F312" s="461"/>
      <c r="G312" s="461"/>
      <c r="H312" s="461"/>
    </row>
    <row r="313" spans="2:8">
      <c r="B313" s="463"/>
      <c r="C313" s="461"/>
      <c r="D313" s="461"/>
      <c r="E313" s="461"/>
      <c r="F313" s="461"/>
      <c r="G313" s="461"/>
      <c r="H313" s="461"/>
    </row>
    <row r="314" spans="2:8">
      <c r="B314" s="463"/>
      <c r="C314" s="461"/>
      <c r="D314" s="461"/>
      <c r="E314" s="461"/>
      <c r="F314" s="461"/>
      <c r="G314" s="461"/>
      <c r="H314" s="461"/>
    </row>
    <row r="315" spans="2:8">
      <c r="B315" s="463"/>
      <c r="C315" s="461"/>
      <c r="D315" s="461"/>
      <c r="E315" s="461"/>
      <c r="F315" s="461"/>
      <c r="G315" s="461"/>
      <c r="H315" s="461"/>
    </row>
    <row r="316" spans="2:8">
      <c r="B316" s="463"/>
      <c r="C316" s="461"/>
      <c r="D316" s="461"/>
      <c r="E316" s="461"/>
      <c r="F316" s="461"/>
      <c r="G316" s="461"/>
      <c r="H316" s="461"/>
    </row>
    <row r="317" spans="2:8">
      <c r="B317" s="463"/>
      <c r="C317" s="461"/>
      <c r="D317" s="461"/>
      <c r="E317" s="461"/>
      <c r="F317" s="461"/>
      <c r="G317" s="461"/>
      <c r="H317" s="461"/>
    </row>
    <row r="318" spans="2:8">
      <c r="B318" s="463"/>
      <c r="C318" s="461"/>
      <c r="D318" s="461"/>
      <c r="E318" s="461"/>
      <c r="F318" s="461"/>
      <c r="G318" s="461"/>
      <c r="H318" s="461"/>
    </row>
    <row r="319" spans="2:8">
      <c r="B319" s="463"/>
      <c r="C319" s="461"/>
      <c r="D319" s="461"/>
      <c r="E319" s="461"/>
      <c r="F319" s="461"/>
      <c r="G319" s="461"/>
      <c r="H319" s="461"/>
    </row>
    <row r="320" spans="2:8">
      <c r="B320" s="463"/>
      <c r="C320" s="461"/>
      <c r="D320" s="461"/>
      <c r="E320" s="461"/>
      <c r="F320" s="461"/>
      <c r="G320" s="461"/>
      <c r="H320" s="461"/>
    </row>
    <row r="321" spans="2:8">
      <c r="B321" s="463"/>
      <c r="C321" s="461"/>
      <c r="D321" s="461"/>
      <c r="E321" s="461"/>
      <c r="F321" s="461"/>
      <c r="G321" s="461"/>
      <c r="H321" s="461"/>
    </row>
    <row r="322" spans="2:8">
      <c r="B322" s="463"/>
      <c r="C322" s="461"/>
      <c r="D322" s="461"/>
      <c r="E322" s="461"/>
      <c r="F322" s="461"/>
      <c r="G322" s="461"/>
      <c r="H322" s="461"/>
    </row>
    <row r="323" spans="2:8">
      <c r="B323" s="463"/>
      <c r="C323" s="461"/>
      <c r="D323" s="461"/>
      <c r="E323" s="461"/>
      <c r="F323" s="461"/>
      <c r="G323" s="461"/>
      <c r="H323" s="461"/>
    </row>
    <row r="324" spans="2:8">
      <c r="B324" s="463"/>
      <c r="C324" s="461"/>
      <c r="D324" s="461"/>
      <c r="E324" s="461"/>
      <c r="F324" s="461"/>
      <c r="G324" s="461"/>
      <c r="H324" s="461"/>
    </row>
    <row r="325" spans="2:8">
      <c r="B325" s="463"/>
      <c r="C325" s="461"/>
      <c r="D325" s="461"/>
      <c r="E325" s="461"/>
      <c r="F325" s="461"/>
      <c r="G325" s="461"/>
      <c r="H325" s="461"/>
    </row>
    <row r="326" spans="2:8">
      <c r="B326" s="463"/>
      <c r="C326" s="461"/>
      <c r="D326" s="461"/>
      <c r="E326" s="461"/>
      <c r="F326" s="461"/>
      <c r="G326" s="461"/>
      <c r="H326" s="461"/>
    </row>
    <row r="327" spans="2:8">
      <c r="B327" s="463"/>
      <c r="C327" s="461"/>
      <c r="D327" s="461"/>
      <c r="E327" s="461"/>
      <c r="F327" s="461"/>
      <c r="G327" s="461"/>
      <c r="H327" s="461"/>
    </row>
    <row r="328" spans="2:8">
      <c r="B328" s="463"/>
      <c r="C328" s="461"/>
      <c r="D328" s="461"/>
      <c r="E328" s="461"/>
      <c r="F328" s="461"/>
      <c r="G328" s="461"/>
      <c r="H328" s="461"/>
    </row>
    <row r="329" spans="2:8">
      <c r="B329" s="463"/>
      <c r="C329" s="461"/>
      <c r="D329" s="461"/>
      <c r="E329" s="461"/>
      <c r="F329" s="461"/>
      <c r="G329" s="461"/>
      <c r="H329" s="461"/>
    </row>
    <row r="330" spans="2:8">
      <c r="B330" s="463"/>
      <c r="C330" s="461"/>
      <c r="D330" s="461"/>
      <c r="E330" s="461"/>
      <c r="F330" s="461"/>
      <c r="G330" s="461"/>
      <c r="H330" s="461"/>
    </row>
    <row r="331" spans="2:8">
      <c r="B331" s="463"/>
      <c r="C331" s="461"/>
      <c r="D331" s="461"/>
      <c r="E331" s="461"/>
      <c r="F331" s="461"/>
      <c r="G331" s="461"/>
      <c r="H331" s="461"/>
    </row>
    <row r="332" spans="2:8">
      <c r="B332" s="463"/>
      <c r="C332" s="461"/>
      <c r="D332" s="461"/>
      <c r="E332" s="461"/>
      <c r="F332" s="461"/>
      <c r="G332" s="461"/>
      <c r="H332" s="461"/>
    </row>
    <row r="333" spans="2:8">
      <c r="B333" s="463"/>
      <c r="C333" s="461"/>
      <c r="D333" s="461"/>
      <c r="E333" s="461"/>
      <c r="F333" s="461"/>
      <c r="G333" s="461"/>
      <c r="H333" s="461"/>
    </row>
    <row r="334" spans="2:8">
      <c r="B334" s="463"/>
      <c r="C334" s="461"/>
      <c r="D334" s="461"/>
      <c r="E334" s="461"/>
      <c r="F334" s="461"/>
      <c r="G334" s="461"/>
      <c r="H334" s="461"/>
    </row>
    <row r="335" spans="2:8">
      <c r="B335" s="463"/>
      <c r="C335" s="461"/>
      <c r="D335" s="461"/>
      <c r="E335" s="461"/>
      <c r="F335" s="461"/>
      <c r="G335" s="461"/>
      <c r="H335" s="461"/>
    </row>
    <row r="336" spans="2:8">
      <c r="B336" s="463"/>
      <c r="C336" s="461"/>
      <c r="D336" s="461"/>
      <c r="E336" s="461"/>
      <c r="F336" s="461"/>
      <c r="G336" s="461"/>
      <c r="H336" s="461"/>
    </row>
    <row r="337" spans="2:8">
      <c r="B337" s="463"/>
      <c r="C337" s="461"/>
      <c r="D337" s="461"/>
      <c r="E337" s="461"/>
      <c r="F337" s="461"/>
      <c r="G337" s="461"/>
      <c r="H337" s="461"/>
    </row>
    <row r="338" spans="2:8">
      <c r="B338" s="463"/>
      <c r="C338" s="461"/>
      <c r="D338" s="461"/>
      <c r="E338" s="461"/>
      <c r="F338" s="461"/>
      <c r="G338" s="461"/>
      <c r="H338" s="461"/>
    </row>
    <row r="339" spans="2:8">
      <c r="B339" s="463"/>
      <c r="C339" s="461"/>
      <c r="D339" s="461"/>
      <c r="E339" s="461"/>
      <c r="F339" s="461"/>
      <c r="G339" s="461"/>
      <c r="H339" s="461"/>
    </row>
    <row r="340" spans="2:8">
      <c r="B340" s="463"/>
      <c r="C340" s="461"/>
      <c r="D340" s="461"/>
      <c r="E340" s="461"/>
      <c r="F340" s="461"/>
      <c r="G340" s="461"/>
      <c r="H340" s="461"/>
    </row>
    <row r="341" spans="2:8">
      <c r="B341" s="463"/>
      <c r="C341" s="461"/>
      <c r="D341" s="461"/>
      <c r="E341" s="461"/>
      <c r="F341" s="461"/>
      <c r="G341" s="461"/>
      <c r="H341" s="461"/>
    </row>
    <row r="342" spans="2:8">
      <c r="B342" s="463"/>
      <c r="C342" s="461"/>
      <c r="D342" s="461"/>
      <c r="E342" s="461"/>
      <c r="F342" s="461"/>
      <c r="G342" s="461"/>
      <c r="H342" s="461"/>
    </row>
    <row r="343" spans="2:8">
      <c r="B343" s="463"/>
      <c r="C343" s="461"/>
      <c r="D343" s="461"/>
      <c r="E343" s="461"/>
      <c r="F343" s="461"/>
      <c r="G343" s="461"/>
      <c r="H343" s="461"/>
    </row>
    <row r="344" spans="2:8">
      <c r="B344" s="463"/>
      <c r="C344" s="461"/>
      <c r="D344" s="461"/>
      <c r="E344" s="461"/>
      <c r="F344" s="461"/>
      <c r="G344" s="461"/>
      <c r="H344" s="461"/>
    </row>
    <row r="345" spans="2:8">
      <c r="B345" s="463"/>
      <c r="C345" s="461"/>
      <c r="D345" s="461"/>
      <c r="E345" s="461"/>
      <c r="F345" s="461"/>
      <c r="G345" s="461"/>
      <c r="H345" s="461"/>
    </row>
    <row r="346" spans="2:8">
      <c r="B346" s="463"/>
      <c r="C346" s="461"/>
      <c r="D346" s="461"/>
      <c r="E346" s="461"/>
      <c r="F346" s="461"/>
      <c r="G346" s="461"/>
      <c r="H346" s="461"/>
    </row>
    <row r="347" spans="2:8">
      <c r="B347" s="463"/>
      <c r="C347" s="461"/>
      <c r="D347" s="461"/>
      <c r="E347" s="461"/>
      <c r="F347" s="461"/>
      <c r="G347" s="461"/>
      <c r="H347" s="461"/>
    </row>
    <row r="348" spans="2:8">
      <c r="B348" s="463"/>
      <c r="C348" s="461"/>
      <c r="D348" s="461"/>
      <c r="E348" s="461"/>
      <c r="F348" s="461"/>
      <c r="G348" s="461"/>
      <c r="H348" s="461"/>
    </row>
    <row r="349" spans="2:8">
      <c r="B349" s="463"/>
      <c r="C349" s="461"/>
      <c r="D349" s="461"/>
      <c r="E349" s="461"/>
      <c r="F349" s="461"/>
      <c r="G349" s="461"/>
      <c r="H349" s="461"/>
    </row>
    <row r="350" spans="2:8">
      <c r="B350" s="463"/>
      <c r="C350" s="461"/>
      <c r="D350" s="461"/>
      <c r="E350" s="461"/>
      <c r="F350" s="461"/>
      <c r="G350" s="461"/>
      <c r="H350" s="461"/>
    </row>
    <row r="351" spans="2:8">
      <c r="B351" s="463"/>
      <c r="C351" s="461"/>
      <c r="D351" s="461"/>
      <c r="E351" s="461"/>
      <c r="F351" s="461"/>
      <c r="G351" s="461"/>
      <c r="H351" s="461"/>
    </row>
    <row r="352" spans="2:8">
      <c r="B352" s="463"/>
      <c r="C352" s="461"/>
      <c r="D352" s="461"/>
      <c r="E352" s="461"/>
      <c r="F352" s="461"/>
      <c r="G352" s="461"/>
      <c r="H352" s="461"/>
    </row>
    <row r="353" spans="2:8">
      <c r="B353" s="463"/>
      <c r="C353" s="461"/>
      <c r="D353" s="461"/>
      <c r="E353" s="461"/>
      <c r="F353" s="461"/>
      <c r="G353" s="461"/>
      <c r="H353" s="461"/>
    </row>
    <row r="354" spans="2:8">
      <c r="B354" s="463"/>
      <c r="C354" s="461"/>
      <c r="D354" s="461"/>
      <c r="E354" s="461"/>
      <c r="F354" s="461"/>
      <c r="G354" s="461"/>
      <c r="H354" s="461"/>
    </row>
    <row r="355" spans="2:8">
      <c r="B355" s="463"/>
      <c r="C355" s="461"/>
      <c r="D355" s="461"/>
      <c r="E355" s="461"/>
      <c r="F355" s="461"/>
      <c r="G355" s="461"/>
      <c r="H355" s="461"/>
    </row>
    <row r="356" spans="2:8">
      <c r="B356" s="463"/>
      <c r="C356" s="461"/>
      <c r="D356" s="461"/>
      <c r="E356" s="461"/>
      <c r="F356" s="461"/>
      <c r="G356" s="461"/>
      <c r="H356" s="461"/>
    </row>
    <row r="357" spans="2:8">
      <c r="B357" s="463"/>
      <c r="C357" s="461"/>
      <c r="D357" s="461"/>
      <c r="E357" s="461"/>
      <c r="F357" s="461"/>
      <c r="G357" s="461"/>
      <c r="H357" s="461"/>
    </row>
    <row r="358" spans="2:8">
      <c r="B358" s="463"/>
      <c r="C358" s="461"/>
      <c r="D358" s="461"/>
      <c r="E358" s="461"/>
      <c r="F358" s="461"/>
      <c r="G358" s="461"/>
      <c r="H358" s="461"/>
    </row>
    <row r="359" spans="2:8">
      <c r="B359" s="463"/>
      <c r="C359" s="461"/>
      <c r="D359" s="461"/>
      <c r="E359" s="461"/>
      <c r="F359" s="461"/>
      <c r="G359" s="461"/>
      <c r="H359" s="461"/>
    </row>
    <row r="360" spans="2:8">
      <c r="B360" s="463"/>
      <c r="C360" s="461"/>
      <c r="D360" s="461"/>
      <c r="E360" s="461"/>
      <c r="F360" s="461"/>
      <c r="G360" s="461"/>
      <c r="H360" s="461"/>
    </row>
    <row r="361" spans="2:8">
      <c r="B361" s="463"/>
      <c r="C361" s="461"/>
      <c r="D361" s="461"/>
      <c r="E361" s="461"/>
      <c r="F361" s="461"/>
      <c r="G361" s="461"/>
      <c r="H361" s="461"/>
    </row>
    <row r="362" spans="2:8">
      <c r="B362" s="463"/>
      <c r="C362" s="461"/>
      <c r="D362" s="461"/>
      <c r="E362" s="461"/>
      <c r="F362" s="461"/>
      <c r="G362" s="461"/>
      <c r="H362" s="461"/>
    </row>
    <row r="363" spans="2:8">
      <c r="B363" s="463"/>
      <c r="C363" s="461"/>
      <c r="D363" s="461"/>
      <c r="E363" s="461"/>
      <c r="F363" s="461"/>
      <c r="G363" s="461"/>
      <c r="H363" s="461"/>
    </row>
    <row r="364" spans="2:8">
      <c r="B364" s="463"/>
      <c r="C364" s="461"/>
      <c r="D364" s="461"/>
      <c r="E364" s="461"/>
      <c r="F364" s="461"/>
      <c r="G364" s="461"/>
      <c r="H364" s="461"/>
    </row>
    <row r="365" spans="2:8">
      <c r="B365" s="463"/>
      <c r="C365" s="461"/>
      <c r="D365" s="461"/>
      <c r="E365" s="461"/>
      <c r="F365" s="461"/>
      <c r="G365" s="461"/>
      <c r="H365" s="461"/>
    </row>
    <row r="366" spans="2:8">
      <c r="B366" s="463"/>
      <c r="C366" s="461"/>
      <c r="D366" s="461"/>
      <c r="E366" s="461"/>
      <c r="F366" s="461"/>
      <c r="G366" s="461"/>
      <c r="H366" s="461"/>
    </row>
    <row r="367" spans="2:8">
      <c r="B367" s="463"/>
      <c r="C367" s="461"/>
      <c r="D367" s="461"/>
      <c r="E367" s="461"/>
      <c r="F367" s="461"/>
      <c r="G367" s="461"/>
      <c r="H367" s="461"/>
    </row>
    <row r="368" spans="2:8">
      <c r="B368" s="463"/>
      <c r="C368" s="461"/>
      <c r="D368" s="461"/>
      <c r="E368" s="461"/>
      <c r="F368" s="461"/>
      <c r="G368" s="461"/>
      <c r="H368" s="461"/>
    </row>
    <row r="369" spans="2:8">
      <c r="B369" s="463"/>
      <c r="C369" s="461"/>
      <c r="D369" s="461"/>
      <c r="E369" s="461"/>
      <c r="F369" s="461"/>
      <c r="G369" s="461"/>
      <c r="H369" s="461"/>
    </row>
    <row r="370" spans="2:8">
      <c r="B370" s="463"/>
      <c r="C370" s="461"/>
      <c r="D370" s="461"/>
      <c r="E370" s="461"/>
      <c r="F370" s="461"/>
      <c r="G370" s="461"/>
      <c r="H370" s="461"/>
    </row>
    <row r="371" spans="2:8">
      <c r="B371" s="463"/>
      <c r="C371" s="461"/>
      <c r="D371" s="461"/>
      <c r="E371" s="461"/>
      <c r="F371" s="461"/>
      <c r="G371" s="461"/>
      <c r="H371" s="461"/>
    </row>
    <row r="372" spans="2:8">
      <c r="B372" s="463"/>
      <c r="C372" s="461"/>
      <c r="D372" s="461"/>
      <c r="E372" s="461"/>
      <c r="F372" s="461"/>
      <c r="G372" s="461"/>
      <c r="H372" s="461"/>
    </row>
    <row r="373" spans="2:8">
      <c r="B373" s="463"/>
      <c r="C373" s="461"/>
      <c r="D373" s="461"/>
      <c r="E373" s="461"/>
      <c r="F373" s="461"/>
      <c r="G373" s="461"/>
      <c r="H373" s="461"/>
    </row>
    <row r="374" spans="2:8">
      <c r="B374" s="463"/>
      <c r="C374" s="461"/>
      <c r="D374" s="461"/>
      <c r="E374" s="461"/>
      <c r="F374" s="461"/>
      <c r="G374" s="461"/>
      <c r="H374" s="461"/>
    </row>
    <row r="375" spans="2:8">
      <c r="B375" s="463"/>
      <c r="C375" s="461"/>
      <c r="D375" s="461"/>
      <c r="E375" s="461"/>
      <c r="F375" s="461"/>
      <c r="G375" s="461"/>
      <c r="H375" s="461"/>
    </row>
    <row r="376" spans="2:8">
      <c r="B376" s="463"/>
      <c r="C376" s="461"/>
      <c r="D376" s="461"/>
      <c r="E376" s="461"/>
      <c r="F376" s="461"/>
      <c r="G376" s="461"/>
      <c r="H376" s="461"/>
    </row>
    <row r="377" spans="2:8">
      <c r="B377" s="463"/>
      <c r="C377" s="461"/>
      <c r="D377" s="461"/>
      <c r="E377" s="461"/>
      <c r="F377" s="461"/>
      <c r="G377" s="461"/>
      <c r="H377" s="461"/>
    </row>
    <row r="378" spans="2:8">
      <c r="B378" s="463"/>
      <c r="C378" s="461"/>
      <c r="D378" s="461"/>
      <c r="E378" s="461"/>
      <c r="F378" s="461"/>
      <c r="G378" s="461"/>
      <c r="H378" s="461"/>
    </row>
    <row r="379" spans="2:8">
      <c r="B379" s="463"/>
      <c r="C379" s="461"/>
      <c r="D379" s="461"/>
      <c r="E379" s="461"/>
      <c r="F379" s="461"/>
      <c r="G379" s="461"/>
      <c r="H379" s="461"/>
    </row>
    <row r="380" spans="2:8">
      <c r="B380" s="463"/>
      <c r="C380" s="461"/>
      <c r="D380" s="461"/>
      <c r="E380" s="461"/>
      <c r="F380" s="461"/>
      <c r="G380" s="461"/>
      <c r="H380" s="461"/>
    </row>
    <row r="381" spans="2:8">
      <c r="B381" s="463"/>
      <c r="C381" s="461"/>
      <c r="D381" s="461"/>
      <c r="E381" s="461"/>
      <c r="F381" s="461"/>
      <c r="G381" s="461"/>
      <c r="H381" s="461"/>
    </row>
    <row r="382" spans="2:8">
      <c r="B382" s="463"/>
      <c r="C382" s="461"/>
      <c r="D382" s="461"/>
      <c r="E382" s="461"/>
      <c r="F382" s="461"/>
      <c r="G382" s="461"/>
      <c r="H382" s="461"/>
    </row>
    <row r="383" spans="2:8">
      <c r="B383" s="463"/>
      <c r="C383" s="461"/>
      <c r="D383" s="461"/>
      <c r="E383" s="461"/>
      <c r="F383" s="461"/>
      <c r="G383" s="461"/>
      <c r="H383" s="461"/>
    </row>
    <row r="384" spans="2:8">
      <c r="B384" s="463"/>
      <c r="C384" s="461"/>
      <c r="D384" s="461"/>
      <c r="E384" s="461"/>
      <c r="F384" s="461"/>
      <c r="G384" s="461"/>
      <c r="H384" s="461"/>
    </row>
    <row r="385" spans="2:8">
      <c r="B385" s="463"/>
      <c r="C385" s="461"/>
      <c r="D385" s="461"/>
      <c r="E385" s="461"/>
      <c r="F385" s="461"/>
      <c r="G385" s="461"/>
      <c r="H385" s="461"/>
    </row>
    <row r="386" spans="2:8">
      <c r="B386" s="463"/>
      <c r="C386" s="461"/>
      <c r="D386" s="461"/>
      <c r="E386" s="461"/>
      <c r="F386" s="461"/>
      <c r="G386" s="461"/>
      <c r="H386" s="461"/>
    </row>
    <row r="387" spans="2:8">
      <c r="B387" s="463"/>
      <c r="C387" s="461"/>
      <c r="D387" s="461"/>
      <c r="E387" s="461"/>
      <c r="F387" s="461"/>
      <c r="G387" s="461"/>
      <c r="H387" s="461"/>
    </row>
    <row r="388" spans="2:8">
      <c r="B388" s="463"/>
      <c r="C388" s="461"/>
      <c r="D388" s="461"/>
      <c r="E388" s="461"/>
      <c r="F388" s="461"/>
      <c r="G388" s="461"/>
      <c r="H388" s="461"/>
    </row>
    <row r="389" spans="2:8">
      <c r="B389" s="463"/>
      <c r="C389" s="461"/>
      <c r="D389" s="461"/>
      <c r="E389" s="461"/>
      <c r="F389" s="461"/>
      <c r="G389" s="461"/>
      <c r="H389" s="461"/>
    </row>
    <row r="390" spans="2:8">
      <c r="B390" s="463"/>
      <c r="C390" s="461"/>
      <c r="D390" s="461"/>
      <c r="E390" s="461"/>
      <c r="F390" s="461"/>
      <c r="G390" s="461"/>
      <c r="H390" s="461"/>
    </row>
    <row r="391" spans="2:8">
      <c r="B391" s="463"/>
      <c r="C391" s="461"/>
      <c r="D391" s="461"/>
      <c r="E391" s="461"/>
      <c r="F391" s="461"/>
      <c r="G391" s="461"/>
      <c r="H391" s="461"/>
    </row>
    <row r="392" spans="2:8">
      <c r="B392" s="463"/>
      <c r="C392" s="461"/>
      <c r="D392" s="461"/>
      <c r="E392" s="461"/>
      <c r="F392" s="461"/>
      <c r="G392" s="461"/>
      <c r="H392" s="461"/>
    </row>
    <row r="393" spans="2:8">
      <c r="B393" s="463"/>
      <c r="C393" s="461"/>
      <c r="D393" s="461"/>
      <c r="E393" s="461"/>
      <c r="F393" s="461"/>
      <c r="G393" s="461"/>
      <c r="H393" s="461"/>
    </row>
    <row r="394" spans="2:8">
      <c r="B394" s="463"/>
      <c r="C394" s="461"/>
      <c r="D394" s="461"/>
      <c r="E394" s="461"/>
      <c r="F394" s="461"/>
      <c r="G394" s="461"/>
      <c r="H394" s="461"/>
    </row>
    <row r="395" spans="2:8">
      <c r="B395" s="463"/>
      <c r="C395" s="461"/>
      <c r="D395" s="461"/>
      <c r="E395" s="461"/>
      <c r="F395" s="461"/>
      <c r="G395" s="461"/>
      <c r="H395" s="461"/>
    </row>
    <row r="396" spans="2:8">
      <c r="B396" s="463"/>
      <c r="C396" s="461"/>
      <c r="D396" s="461"/>
      <c r="E396" s="461"/>
      <c r="F396" s="461"/>
      <c r="G396" s="461"/>
      <c r="H396" s="461"/>
    </row>
    <row r="397" spans="2:8">
      <c r="B397" s="463"/>
      <c r="C397" s="461"/>
      <c r="D397" s="461"/>
      <c r="E397" s="461"/>
      <c r="F397" s="461"/>
      <c r="G397" s="461"/>
      <c r="H397" s="461"/>
    </row>
    <row r="398" spans="2:8">
      <c r="B398" s="463"/>
      <c r="C398" s="461"/>
      <c r="D398" s="461"/>
      <c r="E398" s="461"/>
      <c r="F398" s="461"/>
      <c r="G398" s="461"/>
      <c r="H398" s="461"/>
    </row>
    <row r="399" spans="2:8">
      <c r="B399" s="463"/>
      <c r="C399" s="461"/>
      <c r="D399" s="461"/>
      <c r="E399" s="461"/>
      <c r="F399" s="461"/>
      <c r="G399" s="461"/>
      <c r="H399" s="461"/>
    </row>
    <row r="400" spans="2:8">
      <c r="B400" s="463"/>
      <c r="C400" s="461"/>
      <c r="D400" s="461"/>
      <c r="E400" s="461"/>
      <c r="F400" s="461"/>
      <c r="G400" s="461"/>
      <c r="H400" s="461"/>
    </row>
    <row r="401" spans="2:8">
      <c r="B401" s="463"/>
      <c r="C401" s="461"/>
      <c r="D401" s="461"/>
      <c r="E401" s="461"/>
      <c r="F401" s="461"/>
      <c r="G401" s="461"/>
      <c r="H401" s="461"/>
    </row>
    <row r="402" spans="2:8">
      <c r="B402" s="463"/>
      <c r="C402" s="461"/>
      <c r="D402" s="461"/>
      <c r="E402" s="461"/>
      <c r="F402" s="461"/>
      <c r="G402" s="461"/>
      <c r="H402" s="461"/>
    </row>
    <row r="403" spans="2:8">
      <c r="B403" s="463"/>
      <c r="C403" s="461"/>
      <c r="D403" s="461"/>
      <c r="E403" s="461"/>
      <c r="F403" s="461"/>
      <c r="G403" s="461"/>
      <c r="H403" s="461"/>
    </row>
    <row r="404" spans="2:8">
      <c r="B404" s="463"/>
      <c r="C404" s="461"/>
      <c r="D404" s="461"/>
      <c r="E404" s="461"/>
      <c r="F404" s="461"/>
      <c r="G404" s="461"/>
      <c r="H404" s="461"/>
    </row>
    <row r="405" spans="2:8">
      <c r="B405" s="463"/>
      <c r="C405" s="461"/>
      <c r="D405" s="461"/>
      <c r="E405" s="461"/>
      <c r="F405" s="461"/>
      <c r="G405" s="461"/>
      <c r="H405" s="461"/>
    </row>
    <row r="406" spans="2:8">
      <c r="B406" s="463"/>
      <c r="C406" s="461"/>
      <c r="D406" s="461"/>
      <c r="E406" s="461"/>
      <c r="F406" s="461"/>
      <c r="G406" s="461"/>
      <c r="H406" s="461"/>
    </row>
    <row r="407" spans="2:8">
      <c r="B407" s="463"/>
      <c r="C407" s="461"/>
      <c r="D407" s="461"/>
      <c r="E407" s="461"/>
      <c r="F407" s="461"/>
      <c r="G407" s="461"/>
      <c r="H407" s="461"/>
    </row>
    <row r="408" spans="2:8">
      <c r="B408" s="463"/>
      <c r="C408" s="461"/>
      <c r="D408" s="461"/>
      <c r="E408" s="461"/>
      <c r="F408" s="461"/>
      <c r="G408" s="461"/>
      <c r="H408" s="461"/>
    </row>
    <row r="409" spans="2:8">
      <c r="B409" s="463"/>
      <c r="C409" s="461"/>
      <c r="D409" s="461"/>
      <c r="E409" s="461"/>
      <c r="F409" s="461"/>
      <c r="G409" s="461"/>
      <c r="H409" s="461"/>
    </row>
    <row r="410" spans="2:8">
      <c r="B410" s="463"/>
      <c r="C410" s="461"/>
      <c r="D410" s="461"/>
      <c r="E410" s="461"/>
      <c r="F410" s="461"/>
      <c r="G410" s="461"/>
      <c r="H410" s="461"/>
    </row>
    <row r="411" spans="2:8">
      <c r="B411" s="463"/>
      <c r="C411" s="461"/>
      <c r="D411" s="461"/>
      <c r="E411" s="461"/>
      <c r="F411" s="461"/>
      <c r="G411" s="461"/>
      <c r="H411" s="461"/>
    </row>
    <row r="412" spans="2:8">
      <c r="B412" s="463"/>
      <c r="C412" s="461"/>
      <c r="D412" s="461"/>
      <c r="E412" s="461"/>
      <c r="F412" s="461"/>
      <c r="G412" s="461"/>
      <c r="H412" s="461"/>
    </row>
    <row r="413" spans="2:8">
      <c r="B413" s="463"/>
      <c r="C413" s="461"/>
      <c r="D413" s="461"/>
      <c r="E413" s="461"/>
      <c r="F413" s="461"/>
      <c r="G413" s="461"/>
      <c r="H413" s="461"/>
    </row>
    <row r="414" spans="2:8">
      <c r="B414" s="463"/>
      <c r="C414" s="461"/>
      <c r="D414" s="461"/>
      <c r="E414" s="461"/>
      <c r="F414" s="461"/>
      <c r="G414" s="461"/>
      <c r="H414" s="461"/>
    </row>
    <row r="415" spans="2:8">
      <c r="B415" s="463"/>
      <c r="C415" s="461"/>
      <c r="D415" s="461"/>
      <c r="E415" s="461"/>
      <c r="F415" s="461"/>
      <c r="G415" s="461"/>
      <c r="H415" s="461"/>
    </row>
    <row r="416" spans="2:8">
      <c r="B416" s="463"/>
      <c r="C416" s="461"/>
      <c r="D416" s="461"/>
      <c r="E416" s="461"/>
      <c r="F416" s="461"/>
      <c r="G416" s="461"/>
      <c r="H416" s="461"/>
    </row>
    <row r="417" spans="2:8">
      <c r="B417" s="463"/>
      <c r="C417" s="461"/>
      <c r="D417" s="461"/>
      <c r="E417" s="461"/>
      <c r="F417" s="461"/>
      <c r="G417" s="461"/>
      <c r="H417" s="461"/>
    </row>
    <row r="418" spans="2:8">
      <c r="B418" s="463"/>
      <c r="C418" s="461"/>
      <c r="D418" s="461"/>
      <c r="E418" s="461"/>
      <c r="F418" s="461"/>
      <c r="G418" s="461"/>
      <c r="H418" s="461"/>
    </row>
    <row r="419" spans="2:8">
      <c r="B419" s="463"/>
      <c r="C419" s="461"/>
      <c r="D419" s="461"/>
      <c r="E419" s="461"/>
      <c r="F419" s="461"/>
      <c r="G419" s="461"/>
      <c r="H419" s="461"/>
    </row>
    <row r="420" spans="2:8">
      <c r="B420" s="463"/>
      <c r="C420" s="461"/>
      <c r="D420" s="461"/>
      <c r="E420" s="461"/>
      <c r="F420" s="461"/>
      <c r="G420" s="461"/>
      <c r="H420" s="461"/>
    </row>
    <row r="421" spans="2:8">
      <c r="B421" s="463"/>
      <c r="C421" s="461"/>
      <c r="D421" s="461"/>
      <c r="E421" s="461"/>
      <c r="F421" s="461"/>
      <c r="G421" s="461"/>
      <c r="H421" s="461"/>
    </row>
    <row r="422" spans="2:8">
      <c r="B422" s="463"/>
      <c r="C422" s="461"/>
      <c r="D422" s="461"/>
      <c r="E422" s="461"/>
      <c r="F422" s="461"/>
      <c r="G422" s="461"/>
      <c r="H422" s="461"/>
    </row>
    <row r="423" spans="2:8">
      <c r="B423" s="463"/>
      <c r="C423" s="461"/>
      <c r="D423" s="461"/>
      <c r="E423" s="461"/>
      <c r="F423" s="461"/>
      <c r="G423" s="461"/>
      <c r="H423" s="461"/>
    </row>
    <row r="424" spans="2:8">
      <c r="B424" s="463"/>
      <c r="C424" s="461"/>
      <c r="D424" s="461"/>
      <c r="E424" s="461"/>
      <c r="F424" s="461"/>
      <c r="G424" s="461"/>
      <c r="H424" s="461"/>
    </row>
    <row r="425" spans="2:8">
      <c r="B425" s="463"/>
      <c r="C425" s="461"/>
      <c r="D425" s="461"/>
      <c r="E425" s="461"/>
      <c r="F425" s="461"/>
      <c r="G425" s="461"/>
      <c r="H425" s="461"/>
    </row>
    <row r="426" spans="2:8">
      <c r="B426" s="463"/>
      <c r="C426" s="461"/>
      <c r="D426" s="461"/>
      <c r="E426" s="461"/>
      <c r="F426" s="461"/>
      <c r="G426" s="461"/>
      <c r="H426" s="461"/>
    </row>
    <row r="427" spans="2:8">
      <c r="B427" s="463"/>
      <c r="C427" s="461"/>
      <c r="D427" s="461"/>
      <c r="E427" s="461"/>
      <c r="F427" s="461"/>
      <c r="G427" s="461"/>
      <c r="H427" s="461"/>
    </row>
    <row r="428" spans="2:8">
      <c r="B428" s="463"/>
      <c r="C428" s="461"/>
      <c r="D428" s="461"/>
      <c r="E428" s="461"/>
      <c r="F428" s="461"/>
      <c r="G428" s="461"/>
      <c r="H428" s="461"/>
    </row>
    <row r="429" spans="2:8">
      <c r="B429" s="463"/>
      <c r="C429" s="461"/>
      <c r="D429" s="461"/>
      <c r="E429" s="461"/>
      <c r="F429" s="461"/>
      <c r="G429" s="461"/>
      <c r="H429" s="461"/>
    </row>
    <row r="430" spans="2:8">
      <c r="B430" s="463"/>
      <c r="C430" s="461"/>
      <c r="D430" s="461"/>
      <c r="E430" s="461"/>
      <c r="F430" s="461"/>
      <c r="G430" s="461"/>
      <c r="H430" s="461"/>
    </row>
    <row r="431" spans="2:8">
      <c r="B431" s="463"/>
      <c r="C431" s="461"/>
      <c r="D431" s="461"/>
      <c r="E431" s="461"/>
      <c r="F431" s="461"/>
      <c r="G431" s="461"/>
      <c r="H431" s="461"/>
    </row>
    <row r="432" spans="2:8">
      <c r="B432" s="463"/>
      <c r="C432" s="461"/>
      <c r="D432" s="461"/>
      <c r="E432" s="461"/>
      <c r="F432" s="461"/>
      <c r="G432" s="461"/>
      <c r="H432" s="461"/>
    </row>
    <row r="433" spans="2:8">
      <c r="B433" s="463"/>
      <c r="C433" s="461"/>
      <c r="D433" s="461"/>
      <c r="E433" s="461"/>
      <c r="F433" s="461"/>
      <c r="G433" s="461"/>
      <c r="H433" s="461"/>
    </row>
    <row r="434" spans="2:8">
      <c r="B434" s="463"/>
      <c r="C434" s="461"/>
      <c r="D434" s="461"/>
      <c r="E434" s="461"/>
      <c r="F434" s="461"/>
      <c r="G434" s="461"/>
      <c r="H434" s="461"/>
    </row>
    <row r="435" spans="2:8">
      <c r="B435" s="463"/>
      <c r="C435" s="461"/>
      <c r="D435" s="461"/>
      <c r="E435" s="461"/>
      <c r="F435" s="461"/>
      <c r="G435" s="461"/>
      <c r="H435" s="461"/>
    </row>
    <row r="436" spans="2:8">
      <c r="B436" s="463"/>
      <c r="C436" s="461"/>
      <c r="D436" s="461"/>
      <c r="E436" s="461"/>
      <c r="F436" s="461"/>
      <c r="G436" s="461"/>
      <c r="H436" s="461"/>
    </row>
    <row r="437" spans="2:8">
      <c r="B437" s="463"/>
      <c r="C437" s="461"/>
      <c r="D437" s="461"/>
      <c r="E437" s="461"/>
      <c r="F437" s="461"/>
      <c r="G437" s="461"/>
      <c r="H437" s="461"/>
    </row>
    <row r="438" spans="2:8">
      <c r="B438" s="463"/>
      <c r="C438" s="461"/>
      <c r="D438" s="461"/>
      <c r="E438" s="461"/>
      <c r="F438" s="461"/>
      <c r="G438" s="461"/>
      <c r="H438" s="461"/>
    </row>
    <row r="439" spans="2:8">
      <c r="B439" s="463"/>
      <c r="C439" s="461"/>
      <c r="D439" s="461"/>
      <c r="E439" s="461"/>
      <c r="F439" s="461"/>
      <c r="G439" s="461"/>
      <c r="H439" s="461"/>
    </row>
    <row r="440" spans="2:8">
      <c r="B440" s="463"/>
      <c r="C440" s="461"/>
      <c r="D440" s="461"/>
      <c r="E440" s="461"/>
      <c r="F440" s="461"/>
      <c r="G440" s="461"/>
      <c r="H440" s="461"/>
    </row>
    <row r="441" spans="2:8">
      <c r="B441" s="463"/>
      <c r="C441" s="461"/>
      <c r="D441" s="461"/>
      <c r="E441" s="461"/>
      <c r="F441" s="461"/>
      <c r="G441" s="461"/>
      <c r="H441" s="461"/>
    </row>
    <row r="442" spans="2:8">
      <c r="B442" s="463"/>
      <c r="C442" s="461"/>
      <c r="D442" s="461"/>
      <c r="E442" s="461"/>
      <c r="F442" s="461"/>
      <c r="G442" s="461"/>
      <c r="H442" s="461"/>
    </row>
    <row r="443" spans="2:8">
      <c r="B443" s="463"/>
      <c r="C443" s="461"/>
      <c r="D443" s="461"/>
      <c r="E443" s="461"/>
      <c r="F443" s="461"/>
      <c r="G443" s="461"/>
      <c r="H443" s="461"/>
    </row>
    <row r="444" spans="2:8">
      <c r="B444" s="463"/>
      <c r="C444" s="461"/>
      <c r="D444" s="461"/>
      <c r="E444" s="461"/>
      <c r="F444" s="461"/>
      <c r="G444" s="461"/>
      <c r="H444" s="461"/>
    </row>
    <row r="445" spans="2:8">
      <c r="B445" s="463"/>
      <c r="C445" s="461"/>
      <c r="D445" s="461"/>
      <c r="E445" s="461"/>
      <c r="F445" s="461"/>
      <c r="G445" s="461"/>
      <c r="H445" s="461"/>
    </row>
    <row r="446" spans="2:8">
      <c r="B446" s="463"/>
      <c r="C446" s="461"/>
      <c r="D446" s="461"/>
      <c r="E446" s="461"/>
      <c r="F446" s="461"/>
      <c r="G446" s="461"/>
      <c r="H446" s="461"/>
    </row>
    <row r="447" spans="2:8">
      <c r="B447" s="463"/>
      <c r="C447" s="461"/>
      <c r="D447" s="461"/>
      <c r="E447" s="461"/>
      <c r="F447" s="461"/>
      <c r="G447" s="461"/>
      <c r="H447" s="461"/>
    </row>
    <row r="448" spans="2:8">
      <c r="B448" s="463"/>
      <c r="C448" s="461"/>
      <c r="D448" s="461"/>
      <c r="E448" s="461"/>
      <c r="F448" s="461"/>
      <c r="G448" s="461"/>
      <c r="H448" s="461"/>
    </row>
    <row r="449" spans="2:8">
      <c r="B449" s="463"/>
      <c r="C449" s="461"/>
      <c r="D449" s="461"/>
      <c r="E449" s="461"/>
      <c r="F449" s="461"/>
      <c r="G449" s="461"/>
      <c r="H449" s="461"/>
    </row>
    <row r="450" spans="2:8">
      <c r="B450" s="463"/>
      <c r="C450" s="461"/>
      <c r="D450" s="461"/>
      <c r="E450" s="461"/>
      <c r="F450" s="461"/>
      <c r="G450" s="461"/>
      <c r="H450" s="461"/>
    </row>
    <row r="451" spans="2:8">
      <c r="B451" s="463"/>
      <c r="C451" s="461"/>
      <c r="D451" s="461"/>
      <c r="E451" s="461"/>
      <c r="F451" s="461"/>
      <c r="G451" s="461"/>
      <c r="H451" s="461"/>
    </row>
    <row r="452" spans="2:8">
      <c r="B452" s="463"/>
      <c r="C452" s="461"/>
      <c r="D452" s="461"/>
      <c r="E452" s="461"/>
      <c r="F452" s="461"/>
      <c r="G452" s="461"/>
      <c r="H452" s="461"/>
    </row>
    <row r="453" spans="2:8">
      <c r="B453" s="463"/>
      <c r="C453" s="461"/>
      <c r="D453" s="461"/>
      <c r="E453" s="461"/>
      <c r="F453" s="461"/>
      <c r="G453" s="461"/>
      <c r="H453" s="461"/>
    </row>
    <row r="454" spans="2:8">
      <c r="B454" s="463"/>
      <c r="C454" s="461"/>
      <c r="D454" s="461"/>
      <c r="E454" s="461"/>
      <c r="F454" s="461"/>
      <c r="G454" s="461"/>
      <c r="H454" s="461"/>
    </row>
    <row r="455" spans="2:8">
      <c r="B455" s="463"/>
      <c r="C455" s="461"/>
      <c r="D455" s="461"/>
      <c r="E455" s="461"/>
      <c r="F455" s="461"/>
      <c r="G455" s="461"/>
      <c r="H455" s="461"/>
    </row>
    <row r="456" spans="2:8">
      <c r="B456" s="463"/>
      <c r="C456" s="461"/>
      <c r="D456" s="461"/>
      <c r="E456" s="461"/>
      <c r="F456" s="461"/>
      <c r="G456" s="461"/>
      <c r="H456" s="461"/>
    </row>
    <row r="457" spans="2:8">
      <c r="B457" s="463"/>
      <c r="C457" s="461"/>
      <c r="D457" s="461"/>
      <c r="E457" s="461"/>
      <c r="F457" s="461"/>
      <c r="G457" s="461"/>
      <c r="H457" s="461"/>
    </row>
    <row r="458" spans="2:8">
      <c r="B458" s="463"/>
      <c r="C458" s="461"/>
      <c r="D458" s="461"/>
      <c r="E458" s="461"/>
      <c r="F458" s="461"/>
      <c r="G458" s="461"/>
      <c r="H458" s="461"/>
    </row>
    <row r="459" spans="2:8">
      <c r="B459" s="463"/>
      <c r="C459" s="461"/>
      <c r="D459" s="461"/>
      <c r="E459" s="461"/>
      <c r="F459" s="461"/>
      <c r="G459" s="461"/>
      <c r="H459" s="461"/>
    </row>
    <row r="460" spans="2:8">
      <c r="B460" s="463"/>
      <c r="C460" s="461"/>
      <c r="D460" s="461"/>
      <c r="E460" s="461"/>
      <c r="F460" s="461"/>
      <c r="G460" s="461"/>
      <c r="H460" s="461"/>
    </row>
    <row r="461" spans="2:8">
      <c r="B461" s="463"/>
      <c r="C461" s="461"/>
      <c r="D461" s="461"/>
      <c r="E461" s="461"/>
      <c r="F461" s="461"/>
      <c r="G461" s="461"/>
      <c r="H461" s="461"/>
    </row>
    <row r="462" spans="2:8">
      <c r="B462" s="463"/>
      <c r="C462" s="461"/>
      <c r="D462" s="461"/>
      <c r="E462" s="461"/>
      <c r="F462" s="461"/>
      <c r="G462" s="461"/>
      <c r="H462" s="461"/>
    </row>
    <row r="463" spans="2:8">
      <c r="B463" s="463"/>
      <c r="C463" s="461"/>
      <c r="D463" s="461"/>
      <c r="E463" s="461"/>
      <c r="F463" s="461"/>
      <c r="G463" s="461"/>
      <c r="H463" s="461"/>
    </row>
    <row r="464" spans="2:8">
      <c r="B464" s="463"/>
      <c r="C464" s="461"/>
      <c r="D464" s="461"/>
      <c r="E464" s="461"/>
      <c r="F464" s="461"/>
      <c r="G464" s="461"/>
      <c r="H464" s="461"/>
    </row>
    <row r="465" spans="2:8">
      <c r="B465" s="463"/>
      <c r="C465" s="461"/>
      <c r="D465" s="461"/>
      <c r="E465" s="461"/>
      <c r="F465" s="461"/>
      <c r="G465" s="461"/>
      <c r="H465" s="461"/>
    </row>
    <row r="466" spans="2:8">
      <c r="B466" s="463"/>
      <c r="C466" s="461"/>
      <c r="D466" s="461"/>
      <c r="E466" s="461"/>
      <c r="F466" s="461"/>
      <c r="G466" s="461"/>
      <c r="H466" s="461"/>
    </row>
    <row r="467" spans="2:8">
      <c r="B467" s="463"/>
      <c r="C467" s="461"/>
      <c r="D467" s="461"/>
      <c r="E467" s="461"/>
      <c r="F467" s="461"/>
      <c r="G467" s="461"/>
      <c r="H467" s="461"/>
    </row>
    <row r="468" spans="2:8">
      <c r="B468" s="463"/>
      <c r="C468" s="461"/>
      <c r="D468" s="461"/>
      <c r="E468" s="461"/>
      <c r="F468" s="461"/>
      <c r="G468" s="461"/>
      <c r="H468" s="461"/>
    </row>
    <row r="469" spans="2:8">
      <c r="B469" s="463"/>
      <c r="C469" s="461"/>
      <c r="D469" s="461"/>
      <c r="E469" s="461"/>
      <c r="F469" s="461"/>
      <c r="G469" s="461"/>
      <c r="H469" s="461"/>
    </row>
    <row r="470" spans="2:8">
      <c r="B470" s="463"/>
      <c r="C470" s="461"/>
      <c r="D470" s="461"/>
      <c r="E470" s="461"/>
      <c r="F470" s="461"/>
      <c r="G470" s="461"/>
      <c r="H470" s="461"/>
    </row>
    <row r="471" spans="2:8">
      <c r="B471" s="463"/>
      <c r="C471" s="461"/>
      <c r="D471" s="461"/>
      <c r="E471" s="461"/>
      <c r="F471" s="461"/>
      <c r="G471" s="461"/>
      <c r="H471" s="461"/>
    </row>
    <row r="472" spans="2:8">
      <c r="B472" s="463"/>
      <c r="C472" s="461"/>
      <c r="D472" s="461"/>
      <c r="E472" s="461"/>
      <c r="F472" s="461"/>
      <c r="G472" s="461"/>
      <c r="H472" s="461"/>
    </row>
    <row r="473" spans="2:8">
      <c r="B473" s="463"/>
      <c r="C473" s="461"/>
      <c r="D473" s="461"/>
      <c r="E473" s="461"/>
      <c r="F473" s="461"/>
      <c r="G473" s="461"/>
      <c r="H473" s="461"/>
    </row>
    <row r="474" spans="2:8">
      <c r="B474" s="463"/>
      <c r="C474" s="461"/>
      <c r="D474" s="461"/>
      <c r="E474" s="461"/>
      <c r="F474" s="461"/>
      <c r="G474" s="461"/>
      <c r="H474" s="461"/>
    </row>
    <row r="475" spans="2:8">
      <c r="B475" s="463"/>
      <c r="C475" s="461"/>
      <c r="D475" s="461"/>
      <c r="E475" s="461"/>
      <c r="F475" s="461"/>
      <c r="G475" s="461"/>
      <c r="H475" s="461"/>
    </row>
    <row r="476" spans="2:8">
      <c r="B476" s="463"/>
      <c r="C476" s="461"/>
      <c r="D476" s="461"/>
      <c r="E476" s="461"/>
      <c r="F476" s="461"/>
      <c r="G476" s="461"/>
      <c r="H476" s="461"/>
    </row>
    <row r="477" spans="2:8">
      <c r="B477" s="463"/>
      <c r="C477" s="461"/>
      <c r="D477" s="461"/>
      <c r="E477" s="461"/>
      <c r="F477" s="461"/>
      <c r="G477" s="461"/>
      <c r="H477" s="461"/>
    </row>
    <row r="478" spans="2:8">
      <c r="B478" s="463"/>
      <c r="C478" s="461"/>
      <c r="D478" s="461"/>
      <c r="E478" s="461"/>
      <c r="F478" s="461"/>
      <c r="G478" s="461"/>
      <c r="H478" s="461"/>
    </row>
    <row r="479" spans="2:8">
      <c r="B479" s="463"/>
      <c r="C479" s="461"/>
      <c r="D479" s="461"/>
      <c r="E479" s="461"/>
      <c r="F479" s="461"/>
      <c r="G479" s="461"/>
      <c r="H479" s="461"/>
    </row>
    <row r="480" spans="2:8">
      <c r="B480" s="463"/>
      <c r="C480" s="461"/>
      <c r="D480" s="461"/>
      <c r="E480" s="461"/>
      <c r="F480" s="461"/>
      <c r="G480" s="461"/>
      <c r="H480" s="461"/>
    </row>
    <row r="481" spans="2:8">
      <c r="B481" s="463"/>
      <c r="C481" s="461"/>
      <c r="D481" s="461"/>
      <c r="E481" s="461"/>
      <c r="F481" s="461"/>
      <c r="G481" s="461"/>
      <c r="H481" s="461"/>
    </row>
    <row r="482" spans="2:8">
      <c r="B482" s="463"/>
      <c r="C482" s="461"/>
      <c r="D482" s="461"/>
      <c r="E482" s="461"/>
      <c r="F482" s="461"/>
      <c r="G482" s="461"/>
      <c r="H482" s="461"/>
    </row>
    <row r="483" spans="2:8">
      <c r="B483" s="463"/>
      <c r="C483" s="461"/>
      <c r="D483" s="461"/>
      <c r="E483" s="461"/>
      <c r="F483" s="461"/>
      <c r="G483" s="461"/>
      <c r="H483" s="461"/>
    </row>
    <row r="484" spans="2:8">
      <c r="B484" s="463"/>
      <c r="C484" s="461"/>
      <c r="D484" s="461"/>
      <c r="E484" s="461"/>
      <c r="F484" s="461"/>
      <c r="G484" s="461"/>
      <c r="H484" s="461"/>
    </row>
    <row r="485" spans="2:8">
      <c r="B485" s="463"/>
      <c r="C485" s="461"/>
      <c r="D485" s="461"/>
      <c r="E485" s="461"/>
      <c r="F485" s="461"/>
      <c r="G485" s="461"/>
      <c r="H485" s="461"/>
    </row>
    <row r="486" spans="2:8">
      <c r="B486" s="463"/>
      <c r="C486" s="461"/>
      <c r="D486" s="461"/>
      <c r="E486" s="461"/>
      <c r="F486" s="461"/>
      <c r="G486" s="461"/>
      <c r="H486" s="461"/>
    </row>
    <row r="487" spans="2:8">
      <c r="B487" s="463"/>
      <c r="C487" s="461"/>
      <c r="D487" s="461"/>
      <c r="E487" s="461"/>
      <c r="F487" s="461"/>
      <c r="G487" s="461"/>
      <c r="H487" s="461"/>
    </row>
    <row r="488" spans="2:8">
      <c r="B488" s="463"/>
      <c r="C488" s="461"/>
      <c r="D488" s="461"/>
      <c r="E488" s="461"/>
      <c r="F488" s="461"/>
      <c r="G488" s="461"/>
      <c r="H488" s="461"/>
    </row>
    <row r="489" spans="2:8">
      <c r="B489" s="463"/>
      <c r="C489" s="461"/>
      <c r="D489" s="461"/>
      <c r="E489" s="461"/>
      <c r="F489" s="461"/>
      <c r="G489" s="461"/>
      <c r="H489" s="461"/>
    </row>
    <row r="490" spans="2:8">
      <c r="B490" s="463"/>
      <c r="C490" s="461"/>
      <c r="D490" s="461"/>
      <c r="E490" s="461"/>
      <c r="F490" s="461"/>
      <c r="G490" s="461"/>
      <c r="H490" s="461"/>
    </row>
    <row r="491" spans="2:8">
      <c r="B491" s="463"/>
      <c r="C491" s="461"/>
      <c r="D491" s="461"/>
      <c r="E491" s="461"/>
      <c r="F491" s="461"/>
      <c r="G491" s="461"/>
      <c r="H491" s="461"/>
    </row>
    <row r="492" spans="2:8">
      <c r="B492" s="463"/>
      <c r="C492" s="461"/>
      <c r="D492" s="461"/>
      <c r="E492" s="461"/>
      <c r="F492" s="461"/>
      <c r="G492" s="461"/>
      <c r="H492" s="461"/>
    </row>
    <row r="493" spans="2:8">
      <c r="B493" s="463"/>
      <c r="C493" s="461"/>
      <c r="D493" s="461"/>
      <c r="E493" s="461"/>
      <c r="F493" s="461"/>
      <c r="G493" s="461"/>
      <c r="H493" s="461"/>
    </row>
    <row r="494" spans="2:8">
      <c r="B494" s="463"/>
      <c r="C494" s="461"/>
      <c r="D494" s="461"/>
      <c r="E494" s="461"/>
      <c r="F494" s="461"/>
      <c r="G494" s="461"/>
      <c r="H494" s="461"/>
    </row>
    <row r="495" spans="2:8">
      <c r="B495" s="463"/>
      <c r="C495" s="461"/>
      <c r="D495" s="461"/>
      <c r="E495" s="461"/>
      <c r="F495" s="461"/>
      <c r="G495" s="461"/>
      <c r="H495" s="461"/>
    </row>
    <row r="496" spans="2:8">
      <c r="B496" s="463"/>
      <c r="C496" s="461"/>
      <c r="D496" s="461"/>
      <c r="E496" s="461"/>
      <c r="F496" s="461"/>
      <c r="G496" s="461"/>
      <c r="H496" s="461"/>
    </row>
    <row r="497" spans="2:8">
      <c r="B497" s="463"/>
      <c r="C497" s="461"/>
      <c r="D497" s="461"/>
      <c r="E497" s="461"/>
      <c r="F497" s="461"/>
      <c r="G497" s="461"/>
      <c r="H497" s="461"/>
    </row>
    <row r="498" spans="2:8">
      <c r="B498" s="463"/>
      <c r="C498" s="461"/>
      <c r="D498" s="461"/>
      <c r="E498" s="461"/>
      <c r="F498" s="461"/>
      <c r="G498" s="461"/>
      <c r="H498" s="461"/>
    </row>
    <row r="499" spans="2:8">
      <c r="B499" s="463"/>
      <c r="C499" s="461"/>
      <c r="D499" s="461"/>
      <c r="E499" s="461"/>
      <c r="F499" s="461"/>
      <c r="G499" s="461"/>
      <c r="H499" s="461"/>
    </row>
    <row r="500" spans="2:8">
      <c r="B500" s="463"/>
      <c r="C500" s="461"/>
      <c r="D500" s="461"/>
      <c r="E500" s="461"/>
      <c r="F500" s="461"/>
      <c r="G500" s="461"/>
      <c r="H500" s="461"/>
    </row>
    <row r="501" spans="2:8">
      <c r="B501" s="463"/>
      <c r="C501" s="461"/>
      <c r="D501" s="461"/>
      <c r="E501" s="461"/>
      <c r="F501" s="461"/>
      <c r="G501" s="461"/>
      <c r="H501" s="461"/>
    </row>
    <row r="502" spans="2:8">
      <c r="B502" s="463"/>
      <c r="C502" s="461"/>
      <c r="D502" s="461"/>
      <c r="E502" s="461"/>
      <c r="F502" s="461"/>
      <c r="G502" s="461"/>
      <c r="H502" s="461"/>
    </row>
    <row r="503" spans="2:8">
      <c r="B503" s="463"/>
      <c r="C503" s="461"/>
      <c r="D503" s="461"/>
      <c r="E503" s="461"/>
      <c r="F503" s="461"/>
      <c r="G503" s="461"/>
      <c r="H503" s="461"/>
    </row>
    <row r="504" spans="2:8">
      <c r="B504" s="463"/>
      <c r="C504" s="461"/>
      <c r="D504" s="461"/>
      <c r="E504" s="461"/>
      <c r="F504" s="461"/>
      <c r="G504" s="461"/>
      <c r="H504" s="461"/>
    </row>
    <row r="505" spans="2:8">
      <c r="B505" s="463"/>
      <c r="C505" s="461"/>
      <c r="D505" s="461"/>
      <c r="E505" s="461"/>
      <c r="F505" s="461"/>
      <c r="G505" s="461"/>
      <c r="H505" s="461"/>
    </row>
    <row r="506" spans="2:8">
      <c r="B506" s="463"/>
      <c r="C506" s="461"/>
      <c r="D506" s="461"/>
      <c r="E506" s="461"/>
      <c r="F506" s="461"/>
      <c r="G506" s="461"/>
      <c r="H506" s="461"/>
    </row>
    <row r="507" spans="2:8">
      <c r="B507" s="463"/>
      <c r="C507" s="461"/>
      <c r="D507" s="461"/>
      <c r="E507" s="461"/>
      <c r="F507" s="461"/>
      <c r="G507" s="461"/>
      <c r="H507" s="461"/>
    </row>
    <row r="508" spans="2:8">
      <c r="B508" s="463"/>
      <c r="C508" s="461"/>
      <c r="D508" s="461"/>
      <c r="E508" s="461"/>
      <c r="F508" s="461"/>
      <c r="G508" s="461"/>
      <c r="H508" s="461"/>
    </row>
    <row r="509" spans="2:8">
      <c r="B509" s="463"/>
      <c r="C509" s="461"/>
      <c r="D509" s="461"/>
      <c r="E509" s="461"/>
      <c r="F509" s="461"/>
      <c r="G509" s="461"/>
      <c r="H509" s="461"/>
    </row>
    <row r="510" spans="2:8">
      <c r="B510" s="463"/>
      <c r="C510" s="461"/>
      <c r="D510" s="461"/>
      <c r="E510" s="461"/>
      <c r="F510" s="461"/>
      <c r="G510" s="461"/>
      <c r="H510" s="461"/>
    </row>
    <row r="511" spans="2:8">
      <c r="B511" s="463"/>
      <c r="C511" s="461"/>
      <c r="D511" s="461"/>
      <c r="E511" s="461"/>
      <c r="F511" s="461"/>
      <c r="G511" s="461"/>
      <c r="H511" s="461"/>
    </row>
    <row r="512" spans="2:8">
      <c r="B512" s="463"/>
      <c r="C512" s="461"/>
      <c r="D512" s="461"/>
      <c r="E512" s="461"/>
      <c r="F512" s="461"/>
      <c r="G512" s="461"/>
      <c r="H512" s="461"/>
    </row>
    <row r="513" spans="2:8">
      <c r="B513" s="463"/>
      <c r="C513" s="461"/>
      <c r="D513" s="461"/>
      <c r="E513" s="461"/>
      <c r="F513" s="461"/>
      <c r="G513" s="461"/>
      <c r="H513" s="461"/>
    </row>
    <row r="514" spans="2:8">
      <c r="B514" s="463"/>
      <c r="C514" s="461"/>
      <c r="D514" s="461"/>
      <c r="E514" s="461"/>
      <c r="F514" s="461"/>
      <c r="G514" s="461"/>
      <c r="H514" s="461"/>
    </row>
    <row r="515" spans="2:8">
      <c r="B515" s="463"/>
      <c r="C515" s="461"/>
      <c r="D515" s="461"/>
      <c r="E515" s="461"/>
      <c r="F515" s="461"/>
      <c r="G515" s="461"/>
      <c r="H515" s="461"/>
    </row>
    <row r="516" spans="2:8">
      <c r="B516" s="463"/>
      <c r="C516" s="461"/>
      <c r="D516" s="461"/>
      <c r="E516" s="461"/>
      <c r="F516" s="461"/>
      <c r="G516" s="461"/>
      <c r="H516" s="461"/>
    </row>
    <row r="517" spans="2:8">
      <c r="B517" s="463"/>
      <c r="C517" s="461"/>
      <c r="D517" s="461"/>
      <c r="E517" s="461"/>
      <c r="F517" s="461"/>
      <c r="G517" s="461"/>
      <c r="H517" s="461"/>
    </row>
    <row r="518" spans="2:8">
      <c r="B518" s="463"/>
      <c r="C518" s="461"/>
      <c r="D518" s="461"/>
      <c r="E518" s="461"/>
      <c r="F518" s="461"/>
      <c r="G518" s="461"/>
      <c r="H518" s="461"/>
    </row>
    <row r="519" spans="2:8">
      <c r="B519" s="463"/>
      <c r="C519" s="461"/>
      <c r="D519" s="461"/>
      <c r="E519" s="461"/>
      <c r="F519" s="461"/>
      <c r="G519" s="461"/>
      <c r="H519" s="461"/>
    </row>
    <row r="520" spans="2:8">
      <c r="B520" s="463"/>
      <c r="C520" s="461"/>
      <c r="D520" s="461"/>
      <c r="E520" s="461"/>
      <c r="F520" s="461"/>
      <c r="G520" s="461"/>
      <c r="H520" s="461"/>
    </row>
    <row r="521" spans="2:8">
      <c r="B521" s="463"/>
      <c r="C521" s="461"/>
      <c r="D521" s="461"/>
      <c r="E521" s="461"/>
      <c r="F521" s="461"/>
      <c r="G521" s="461"/>
      <c r="H521" s="461"/>
    </row>
  </sheetData>
  <mergeCells count="16">
    <mergeCell ref="B98:G98"/>
    <mergeCell ref="B102:G102"/>
    <mergeCell ref="B105:H105"/>
    <mergeCell ref="B3:H3"/>
    <mergeCell ref="B75:H75"/>
    <mergeCell ref="B48:H48"/>
    <mergeCell ref="B49:H49"/>
    <mergeCell ref="B70:G70"/>
    <mergeCell ref="B74:G74"/>
    <mergeCell ref="B76:H76"/>
    <mergeCell ref="B77:H77"/>
    <mergeCell ref="B1:H1"/>
    <mergeCell ref="B2:H2"/>
    <mergeCell ref="B41:G41"/>
    <mergeCell ref="B45:G45"/>
    <mergeCell ref="B47:H47"/>
  </mergeCells>
  <phoneticPr fontId="60" type="noConversion"/>
  <printOptions horizontalCentered="1"/>
  <pageMargins left="0.5" right="0.5" top="0.71" bottom="0.5" header="0.33" footer="0.5"/>
  <pageSetup scale="37" fitToHeight="3" orientation="landscape" r:id="rId1"/>
  <headerFooter alignWithMargins="0"/>
  <rowBreaks count="2" manualBreakCount="2">
    <brk id="46" max="7" man="1"/>
    <brk id="7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sheetPr>
  <dimension ref="A1:R421"/>
  <sheetViews>
    <sheetView view="pageBreakPreview" topLeftCell="A121" zoomScale="60" zoomScaleNormal="100" workbookViewId="0"/>
  </sheetViews>
  <sheetFormatPr defaultColWidth="8.77734375" defaultRowHeight="12.75"/>
  <cols>
    <col min="1" max="1" width="4.21875" style="1318" customWidth="1"/>
    <col min="2" max="2" width="21.77734375" style="878" customWidth="1"/>
    <col min="3" max="3" width="2.109375" style="878" customWidth="1"/>
    <col min="4" max="4" width="19.77734375" style="878" customWidth="1"/>
    <col min="5" max="5" width="2.21875" style="878" customWidth="1"/>
    <col min="6" max="6" width="20.21875" style="878" customWidth="1"/>
    <col min="7" max="7" width="1.77734375" style="878" customWidth="1"/>
    <col min="8" max="8" width="16.21875" style="878" customWidth="1"/>
    <col min="9" max="9" width="2.21875" style="878" customWidth="1"/>
    <col min="10" max="10" width="17.21875" style="878" customWidth="1"/>
    <col min="11" max="11" width="2.44140625" style="878" customWidth="1"/>
    <col min="12" max="12" width="17.44140625" style="878" customWidth="1"/>
    <col min="13" max="13" width="2.109375" style="878" customWidth="1"/>
    <col min="14" max="14" width="15.77734375" style="878" customWidth="1"/>
    <col min="15" max="15" width="1.44140625" style="878" customWidth="1"/>
    <col min="16" max="16" width="18.109375" style="878" customWidth="1"/>
    <col min="17" max="18" width="10.77734375" style="878" bestFit="1" customWidth="1"/>
    <col min="19" max="16384" width="8.77734375" style="878"/>
  </cols>
  <sheetData>
    <row r="1" spans="1:17" ht="15" customHeight="1">
      <c r="C1" s="966"/>
      <c r="D1" s="966"/>
      <c r="E1" s="966"/>
      <c r="F1" s="966"/>
      <c r="G1" s="966"/>
      <c r="H1" s="966" t="s">
        <v>596</v>
      </c>
      <c r="I1" s="966"/>
      <c r="J1" s="966"/>
      <c r="K1" s="966" t="s">
        <v>601</v>
      </c>
      <c r="L1" s="879"/>
      <c r="M1" s="991"/>
      <c r="N1" s="1141"/>
      <c r="Q1" s="879"/>
    </row>
    <row r="2" spans="1:17" ht="15" customHeight="1">
      <c r="B2" s="1600" t="s">
        <v>594</v>
      </c>
      <c r="C2" s="1600"/>
      <c r="D2" s="1600"/>
      <c r="E2" s="1600"/>
      <c r="F2" s="1600"/>
      <c r="G2" s="1600"/>
      <c r="H2" s="1600"/>
      <c r="I2" s="1600"/>
      <c r="J2" s="1600"/>
      <c r="K2" s="1600"/>
      <c r="L2" s="1600"/>
      <c r="M2" s="1600"/>
      <c r="N2" s="1600"/>
      <c r="O2" s="1600"/>
      <c r="P2" s="1600"/>
      <c r="Q2" s="879"/>
    </row>
    <row r="3" spans="1:17" ht="15" customHeight="1">
      <c r="B3" s="1601" t="str">
        <f>+'Appendix III'!E8</f>
        <v>MidAmerican Central California Transco, LLC</v>
      </c>
      <c r="C3" s="1601"/>
      <c r="D3" s="1601"/>
      <c r="E3" s="1601"/>
      <c r="F3" s="1601"/>
      <c r="G3" s="1601"/>
      <c r="H3" s="1601"/>
      <c r="I3" s="1601"/>
      <c r="J3" s="1601"/>
      <c r="K3" s="1601"/>
      <c r="L3" s="1601"/>
      <c r="M3" s="1601"/>
      <c r="N3" s="1601"/>
      <c r="O3" s="1601"/>
      <c r="P3" s="1601"/>
      <c r="Q3" s="879"/>
    </row>
    <row r="4" spans="1:17">
      <c r="B4" s="1603"/>
      <c r="C4" s="1603"/>
      <c r="D4" s="1603"/>
      <c r="E4" s="1603"/>
      <c r="F4" s="1603"/>
      <c r="G4" s="1603"/>
      <c r="H4" s="1603"/>
      <c r="I4" s="1603"/>
      <c r="J4" s="1603"/>
      <c r="K4" s="1603"/>
      <c r="L4" s="1603"/>
      <c r="M4" s="1603"/>
      <c r="N4" s="1603"/>
      <c r="O4" s="921"/>
      <c r="P4" s="921"/>
      <c r="Q4" s="879"/>
    </row>
    <row r="5" spans="1:17" ht="28.5" customHeight="1">
      <c r="A5" s="1319">
        <v>1</v>
      </c>
      <c r="B5" s="1607" t="s">
        <v>1037</v>
      </c>
      <c r="C5" s="1607"/>
      <c r="D5" s="1607"/>
      <c r="E5" s="1607"/>
      <c r="F5" s="1607"/>
      <c r="G5" s="1607"/>
      <c r="H5" s="1607"/>
      <c r="I5" s="1607"/>
      <c r="J5" s="1607"/>
      <c r="K5" s="1607"/>
      <c r="L5" s="1607"/>
      <c r="M5" s="1607"/>
      <c r="N5" s="1607"/>
      <c r="O5" s="1607"/>
      <c r="P5" s="1607"/>
      <c r="Q5" s="879"/>
    </row>
    <row r="6" spans="1:17" ht="14.25" thickBot="1">
      <c r="A6" s="1319">
        <f>+A5+1</f>
        <v>2</v>
      </c>
      <c r="B6" s="957"/>
      <c r="C6" s="928"/>
      <c r="D6" s="928"/>
      <c r="E6" s="928"/>
      <c r="F6" s="928"/>
      <c r="G6" s="928"/>
      <c r="H6" s="928"/>
      <c r="I6" s="928"/>
      <c r="J6" s="928"/>
      <c r="K6" s="928"/>
      <c r="L6" s="928"/>
      <c r="M6" s="928"/>
      <c r="N6" s="928"/>
      <c r="O6" s="921"/>
      <c r="P6" s="921"/>
      <c r="Q6" s="879"/>
    </row>
    <row r="7" spans="1:17">
      <c r="A7" s="1319">
        <f t="shared" ref="A7:A70" si="0">+A6+1</f>
        <v>3</v>
      </c>
      <c r="B7" s="1604" t="s">
        <v>281</v>
      </c>
      <c r="C7" s="1605"/>
      <c r="D7" s="1605"/>
      <c r="E7" s="1605"/>
      <c r="F7" s="1605"/>
      <c r="G7" s="1605"/>
      <c r="H7" s="1605"/>
      <c r="I7" s="1605"/>
      <c r="J7" s="1605"/>
      <c r="K7" s="1605"/>
      <c r="L7" s="1605"/>
      <c r="M7" s="1605"/>
      <c r="N7" s="1605"/>
      <c r="O7" s="1605"/>
      <c r="P7" s="1606"/>
      <c r="Q7" s="879"/>
    </row>
    <row r="8" spans="1:17">
      <c r="A8" s="1319">
        <f t="shared" si="0"/>
        <v>4</v>
      </c>
      <c r="B8" s="956" t="s">
        <v>461</v>
      </c>
      <c r="C8" s="955"/>
      <c r="D8" s="955" t="s">
        <v>593</v>
      </c>
      <c r="E8" s="955"/>
      <c r="F8" s="955" t="s">
        <v>592</v>
      </c>
      <c r="G8" s="905"/>
      <c r="H8" s="905" t="s">
        <v>591</v>
      </c>
      <c r="I8" s="905"/>
      <c r="J8" s="905" t="s">
        <v>590</v>
      </c>
      <c r="K8" s="905"/>
      <c r="L8" s="905" t="s">
        <v>589</v>
      </c>
      <c r="M8" s="905"/>
      <c r="N8" s="905" t="s">
        <v>588</v>
      </c>
      <c r="O8" s="905"/>
      <c r="P8" s="954" t="s">
        <v>587</v>
      </c>
      <c r="Q8" s="879"/>
    </row>
    <row r="9" spans="1:17" ht="84.75" customHeight="1">
      <c r="A9" s="1319">
        <f t="shared" si="0"/>
        <v>5</v>
      </c>
      <c r="B9" s="1474" t="s">
        <v>280</v>
      </c>
      <c r="C9" s="1471"/>
      <c r="D9" s="1475" t="s">
        <v>1025</v>
      </c>
      <c r="E9" s="1476"/>
      <c r="F9" s="1475" t="s">
        <v>955</v>
      </c>
      <c r="G9" s="953"/>
      <c r="H9" s="1475" t="s">
        <v>1026</v>
      </c>
      <c r="I9" s="952"/>
      <c r="J9" s="1475" t="s">
        <v>754</v>
      </c>
      <c r="K9" s="952"/>
      <c r="L9" s="1475" t="s">
        <v>586</v>
      </c>
      <c r="M9" s="886"/>
      <c r="N9" s="1475" t="s">
        <v>1031</v>
      </c>
      <c r="O9" s="888"/>
      <c r="P9" s="1477" t="s">
        <v>585</v>
      </c>
      <c r="Q9" s="879"/>
    </row>
    <row r="10" spans="1:17">
      <c r="A10" s="1319">
        <f t="shared" si="0"/>
        <v>6</v>
      </c>
      <c r="B10" s="1142"/>
      <c r="C10" s="951"/>
      <c r="D10" s="1146"/>
      <c r="E10" s="915"/>
      <c r="F10" s="1146"/>
      <c r="G10" s="888"/>
      <c r="H10" s="1148"/>
      <c r="I10" s="950"/>
      <c r="J10" s="1148"/>
      <c r="K10" s="888"/>
      <c r="L10" s="943">
        <f>H10-J10</f>
        <v>0</v>
      </c>
      <c r="M10" s="915"/>
      <c r="N10" s="1150"/>
      <c r="O10" s="888"/>
      <c r="P10" s="942">
        <f>N70</f>
        <v>0</v>
      </c>
      <c r="Q10" s="879"/>
    </row>
    <row r="11" spans="1:17">
      <c r="A11" s="1319">
        <f t="shared" si="0"/>
        <v>7</v>
      </c>
      <c r="B11" s="1143"/>
      <c r="C11" s="948"/>
      <c r="D11" s="1147"/>
      <c r="E11" s="888"/>
      <c r="F11" s="1146"/>
      <c r="G11" s="888"/>
      <c r="H11" s="1149"/>
      <c r="I11" s="888"/>
      <c r="J11" s="1149"/>
      <c r="K11" s="888"/>
      <c r="L11" s="943">
        <f>H11-J11</f>
        <v>0</v>
      </c>
      <c r="M11" s="888"/>
      <c r="N11" s="1150"/>
      <c r="O11" s="888"/>
      <c r="P11" s="942">
        <f>N119</f>
        <v>0</v>
      </c>
      <c r="Q11" s="879"/>
    </row>
    <row r="12" spans="1:17">
      <c r="A12" s="1319">
        <f t="shared" si="0"/>
        <v>8</v>
      </c>
      <c r="B12" s="1143"/>
      <c r="C12" s="948"/>
      <c r="D12" s="1147"/>
      <c r="E12" s="888"/>
      <c r="F12" s="1146"/>
      <c r="G12" s="888"/>
      <c r="H12" s="1149"/>
      <c r="I12" s="888"/>
      <c r="J12" s="1149"/>
      <c r="K12" s="888"/>
      <c r="L12" s="943">
        <f>H12-J12</f>
        <v>0</v>
      </c>
      <c r="M12" s="888"/>
      <c r="N12" s="1150"/>
      <c r="O12" s="888"/>
      <c r="P12" s="942">
        <f>N163</f>
        <v>0</v>
      </c>
      <c r="Q12" s="879"/>
    </row>
    <row r="13" spans="1:17">
      <c r="A13" s="1319">
        <f t="shared" si="0"/>
        <v>9</v>
      </c>
      <c r="B13" s="1143"/>
      <c r="C13" s="948"/>
      <c r="D13" s="1147"/>
      <c r="E13" s="888"/>
      <c r="F13" s="1146"/>
      <c r="G13" s="888"/>
      <c r="H13" s="888"/>
      <c r="I13" s="888"/>
      <c r="J13" s="888"/>
      <c r="K13" s="888"/>
      <c r="L13" s="943"/>
      <c r="M13" s="888"/>
      <c r="N13" s="941"/>
      <c r="O13" s="888"/>
      <c r="P13" s="942"/>
      <c r="Q13" s="879"/>
    </row>
    <row r="14" spans="1:17">
      <c r="A14" s="1319">
        <f t="shared" si="0"/>
        <v>10</v>
      </c>
      <c r="B14" s="946"/>
      <c r="C14" s="948"/>
      <c r="D14" s="949"/>
      <c r="E14" s="888"/>
      <c r="F14" s="944"/>
      <c r="G14" s="888"/>
      <c r="H14" s="888"/>
      <c r="I14" s="888"/>
      <c r="J14" s="888"/>
      <c r="K14" s="888"/>
      <c r="L14" s="943"/>
      <c r="M14" s="888"/>
      <c r="N14" s="941"/>
      <c r="O14" s="888"/>
      <c r="P14" s="942"/>
      <c r="Q14" s="879"/>
    </row>
    <row r="15" spans="1:17">
      <c r="A15" s="1319">
        <f t="shared" si="0"/>
        <v>11</v>
      </c>
      <c r="B15" s="946"/>
      <c r="C15" s="948"/>
      <c r="D15" s="945"/>
      <c r="E15" s="888"/>
      <c r="F15" s="944"/>
      <c r="G15" s="888"/>
      <c r="H15" s="888"/>
      <c r="I15" s="888"/>
      <c r="J15" s="888"/>
      <c r="K15" s="888"/>
      <c r="L15" s="943"/>
      <c r="M15" s="888"/>
      <c r="N15" s="941"/>
      <c r="O15" s="888"/>
      <c r="P15" s="947"/>
      <c r="Q15" s="879"/>
    </row>
    <row r="16" spans="1:17">
      <c r="A16" s="1319">
        <f t="shared" si="0"/>
        <v>12</v>
      </c>
      <c r="B16" s="946"/>
      <c r="C16" s="888"/>
      <c r="D16" s="945"/>
      <c r="E16" s="888"/>
      <c r="F16" s="944"/>
      <c r="G16" s="888"/>
      <c r="H16" s="888"/>
      <c r="I16" s="888"/>
      <c r="J16" s="888"/>
      <c r="K16" s="888"/>
      <c r="L16" s="943"/>
      <c r="M16" s="888"/>
      <c r="N16" s="941"/>
      <c r="O16" s="888"/>
      <c r="P16" s="942">
        <f>SUM(P10:P15)</f>
        <v>0</v>
      </c>
      <c r="Q16" s="879"/>
    </row>
    <row r="17" spans="1:17" ht="13.5">
      <c r="A17" s="1319">
        <f t="shared" si="0"/>
        <v>13</v>
      </c>
      <c r="B17" s="939" t="s">
        <v>377</v>
      </c>
      <c r="C17" s="888"/>
      <c r="D17" s="888"/>
      <c r="E17" s="888"/>
      <c r="F17" s="888"/>
      <c r="G17" s="888"/>
      <c r="H17" s="888"/>
      <c r="I17" s="888"/>
      <c r="J17" s="888"/>
      <c r="K17" s="888"/>
      <c r="L17" s="888"/>
      <c r="M17" s="888"/>
      <c r="N17" s="941"/>
      <c r="O17" s="888"/>
      <c r="P17" s="935"/>
      <c r="Q17" s="879"/>
    </row>
    <row r="18" spans="1:17" ht="13.5">
      <c r="A18" s="1319">
        <f t="shared" si="0"/>
        <v>14</v>
      </c>
      <c r="B18" s="939" t="s">
        <v>598</v>
      </c>
      <c r="C18" s="888"/>
      <c r="D18" s="888"/>
      <c r="E18" s="888"/>
      <c r="F18" s="888"/>
      <c r="G18" s="888"/>
      <c r="H18" s="888"/>
      <c r="I18" s="888"/>
      <c r="J18" s="888"/>
      <c r="K18" s="888"/>
      <c r="L18" s="888"/>
      <c r="M18" s="888"/>
      <c r="N18" s="888"/>
      <c r="O18" s="888"/>
      <c r="P18" s="935"/>
      <c r="Q18" s="879"/>
    </row>
    <row r="19" spans="1:17" ht="13.5">
      <c r="A19" s="1319">
        <f t="shared" si="0"/>
        <v>15</v>
      </c>
      <c r="B19" s="939"/>
      <c r="C19" s="888"/>
      <c r="D19" s="888"/>
      <c r="E19" s="888"/>
      <c r="F19" s="888"/>
      <c r="G19" s="888"/>
      <c r="H19" s="888"/>
      <c r="I19" s="888"/>
      <c r="J19" s="888"/>
      <c r="K19" s="888"/>
      <c r="L19" s="888"/>
      <c r="M19" s="888"/>
      <c r="N19" s="888"/>
      <c r="O19" s="888"/>
      <c r="P19" s="935"/>
      <c r="Q19" s="879"/>
    </row>
    <row r="20" spans="1:17" ht="13.5">
      <c r="A20" s="1319">
        <f t="shared" si="0"/>
        <v>16</v>
      </c>
      <c r="B20" s="940"/>
      <c r="C20" s="888"/>
      <c r="D20" s="888"/>
      <c r="E20" s="888"/>
      <c r="F20" s="888"/>
      <c r="G20" s="888"/>
      <c r="H20" s="888"/>
      <c r="I20" s="888"/>
      <c r="J20" s="888"/>
      <c r="K20" s="888"/>
      <c r="L20" s="888"/>
      <c r="M20" s="888"/>
      <c r="N20" s="888"/>
      <c r="O20" s="888"/>
      <c r="P20" s="935"/>
      <c r="Q20" s="879"/>
    </row>
    <row r="21" spans="1:17" ht="13.5">
      <c r="A21" s="1319">
        <f t="shared" si="0"/>
        <v>17</v>
      </c>
      <c r="B21" s="939"/>
      <c r="C21" s="888"/>
      <c r="D21" s="888"/>
      <c r="E21" s="888"/>
      <c r="F21" s="888"/>
      <c r="G21" s="888"/>
      <c r="H21" s="888"/>
      <c r="I21" s="888"/>
      <c r="J21" s="888"/>
      <c r="K21" s="888"/>
      <c r="L21" s="888"/>
      <c r="M21" s="888"/>
      <c r="N21" s="888"/>
      <c r="O21" s="888"/>
      <c r="P21" s="935"/>
      <c r="Q21" s="879"/>
    </row>
    <row r="22" spans="1:17">
      <c r="A22" s="1319">
        <f t="shared" si="0"/>
        <v>18</v>
      </c>
      <c r="B22" s="938"/>
      <c r="C22" s="937"/>
      <c r="D22" s="915"/>
      <c r="E22" s="888"/>
      <c r="F22" s="888"/>
      <c r="G22" s="888"/>
      <c r="H22" s="888"/>
      <c r="I22" s="888"/>
      <c r="J22" s="888"/>
      <c r="K22" s="888"/>
      <c r="L22" s="888"/>
      <c r="M22" s="888"/>
      <c r="N22" s="888"/>
      <c r="O22" s="888"/>
      <c r="P22" s="935"/>
      <c r="Q22" s="879"/>
    </row>
    <row r="23" spans="1:17">
      <c r="A23" s="1319">
        <f t="shared" si="0"/>
        <v>19</v>
      </c>
      <c r="B23" s="936"/>
      <c r="C23" s="894"/>
      <c r="D23" s="904"/>
      <c r="E23" s="904"/>
      <c r="F23" s="894"/>
      <c r="G23" s="894"/>
      <c r="H23" s="904"/>
      <c r="I23" s="904"/>
      <c r="J23" s="894"/>
      <c r="K23" s="894"/>
      <c r="L23" s="888"/>
      <c r="M23" s="888"/>
      <c r="N23" s="888"/>
      <c r="O23" s="888"/>
      <c r="P23" s="935"/>
      <c r="Q23" s="879"/>
    </row>
    <row r="24" spans="1:17" ht="13.5" thickBot="1">
      <c r="A24" s="1319">
        <f t="shared" si="0"/>
        <v>20</v>
      </c>
      <c r="B24" s="934"/>
      <c r="C24" s="932"/>
      <c r="D24" s="933"/>
      <c r="E24" s="933"/>
      <c r="F24" s="932"/>
      <c r="G24" s="932"/>
      <c r="H24" s="933"/>
      <c r="I24" s="933"/>
      <c r="J24" s="932"/>
      <c r="K24" s="932"/>
      <c r="L24" s="931"/>
      <c r="M24" s="931"/>
      <c r="N24" s="931"/>
      <c r="O24" s="931"/>
      <c r="P24" s="930"/>
      <c r="Q24" s="879"/>
    </row>
    <row r="25" spans="1:17" ht="35.25" customHeight="1">
      <c r="A25" s="1319">
        <f t="shared" si="0"/>
        <v>21</v>
      </c>
      <c r="B25" s="1602" t="s">
        <v>282</v>
      </c>
      <c r="C25" s="1602"/>
      <c r="D25" s="1602"/>
      <c r="E25" s="1602"/>
      <c r="F25" s="1602"/>
      <c r="G25" s="1602"/>
      <c r="H25" s="1602"/>
      <c r="I25" s="1602"/>
      <c r="J25" s="1602"/>
      <c r="K25" s="1602"/>
      <c r="L25" s="1602"/>
      <c r="M25" s="1602"/>
      <c r="N25" s="1602"/>
      <c r="O25" s="1602"/>
      <c r="P25" s="1602"/>
      <c r="Q25" s="879"/>
    </row>
    <row r="26" spans="1:17" ht="53.25" customHeight="1">
      <c r="A26" s="1319">
        <f t="shared" si="0"/>
        <v>22</v>
      </c>
      <c r="B26" s="925" t="s">
        <v>283</v>
      </c>
      <c r="C26" s="925"/>
      <c r="D26" s="1472"/>
      <c r="E26" s="1472"/>
      <c r="F26" s="929" t="s">
        <v>597</v>
      </c>
      <c r="G26" s="920"/>
      <c r="H26" s="929" t="s">
        <v>378</v>
      </c>
      <c r="I26" s="929"/>
      <c r="J26" s="1470" t="s">
        <v>256</v>
      </c>
      <c r="K26" s="1470"/>
      <c r="L26" s="927" t="s">
        <v>257</v>
      </c>
      <c r="M26" s="927"/>
      <c r="N26" s="929" t="s">
        <v>258</v>
      </c>
      <c r="O26" s="926"/>
      <c r="P26" s="929" t="s">
        <v>259</v>
      </c>
      <c r="Q26" s="879"/>
    </row>
    <row r="27" spans="1:17">
      <c r="A27" s="1319">
        <f t="shared" si="0"/>
        <v>23</v>
      </c>
      <c r="B27" s="925"/>
      <c r="C27" s="925"/>
      <c r="D27" s="922"/>
      <c r="E27" s="922"/>
      <c r="F27" s="921"/>
      <c r="G27" s="924"/>
      <c r="H27" s="924"/>
      <c r="I27" s="924"/>
      <c r="J27" s="920"/>
      <c r="K27" s="920"/>
      <c r="L27" s="921"/>
      <c r="M27" s="921"/>
      <c r="N27" s="921"/>
      <c r="O27" s="921"/>
      <c r="P27" s="921"/>
      <c r="Q27" s="879"/>
    </row>
    <row r="28" spans="1:17">
      <c r="A28" s="1319">
        <f t="shared" si="0"/>
        <v>24</v>
      </c>
      <c r="B28" s="923" t="s">
        <v>8</v>
      </c>
      <c r="C28" s="923"/>
      <c r="D28" s="922"/>
      <c r="E28" s="922"/>
      <c r="F28" s="922"/>
      <c r="G28" s="922"/>
      <c r="H28" s="922" t="s">
        <v>8</v>
      </c>
      <c r="I28" s="922"/>
      <c r="J28" s="921"/>
      <c r="K28" s="921"/>
      <c r="L28" s="921"/>
      <c r="M28" s="921"/>
      <c r="N28" s="921"/>
      <c r="O28" s="921"/>
      <c r="P28" s="921"/>
      <c r="Q28" s="879"/>
    </row>
    <row r="29" spans="1:17">
      <c r="A29" s="1319">
        <f t="shared" si="0"/>
        <v>25</v>
      </c>
      <c r="B29" s="914" t="s">
        <v>595</v>
      </c>
      <c r="C29" s="913"/>
      <c r="D29" s="910"/>
      <c r="E29" s="910"/>
      <c r="F29" s="910"/>
      <c r="G29" s="910"/>
      <c r="H29" s="912"/>
      <c r="I29" s="912"/>
      <c r="J29" s="912"/>
      <c r="K29" s="912"/>
      <c r="L29" s="911"/>
      <c r="M29" s="911"/>
      <c r="N29" s="910"/>
      <c r="O29" s="910"/>
      <c r="P29" s="909"/>
      <c r="Q29" s="879"/>
    </row>
    <row r="30" spans="1:17">
      <c r="A30" s="1319">
        <f t="shared" si="0"/>
        <v>26</v>
      </c>
      <c r="B30" s="908"/>
      <c r="C30" s="906"/>
      <c r="D30" s="904"/>
      <c r="E30" s="904"/>
      <c r="F30" s="904"/>
      <c r="G30" s="904"/>
      <c r="H30" s="888"/>
      <c r="I30" s="888"/>
      <c r="J30" s="888"/>
      <c r="K30" s="888"/>
      <c r="L30" s="905" t="s">
        <v>261</v>
      </c>
      <c r="M30" s="905"/>
      <c r="N30" s="904"/>
      <c r="O30" s="904"/>
      <c r="P30" s="903"/>
      <c r="Q30" s="879"/>
    </row>
    <row r="31" spans="1:17">
      <c r="A31" s="1319">
        <f t="shared" si="0"/>
        <v>27</v>
      </c>
      <c r="B31" s="907"/>
      <c r="C31" s="906"/>
      <c r="D31" s="904"/>
      <c r="E31" s="904"/>
      <c r="F31" s="904"/>
      <c r="G31" s="904"/>
      <c r="H31" s="888"/>
      <c r="I31" s="888"/>
      <c r="J31" s="888"/>
      <c r="K31" s="888"/>
      <c r="L31" s="905"/>
      <c r="M31" s="905"/>
      <c r="N31" s="904"/>
      <c r="O31" s="904"/>
      <c r="P31" s="903"/>
      <c r="Q31" s="879"/>
    </row>
    <row r="32" spans="1:17">
      <c r="A32" s="1319">
        <f t="shared" si="0"/>
        <v>28</v>
      </c>
      <c r="B32" s="889" t="s">
        <v>156</v>
      </c>
      <c r="C32" s="888"/>
      <c r="D32" s="958">
        <f>+B10</f>
        <v>0</v>
      </c>
      <c r="E32" s="888"/>
      <c r="F32" s="892">
        <f>+L10/12</f>
        <v>0</v>
      </c>
      <c r="G32" s="892"/>
      <c r="H32" s="893">
        <f>N10</f>
        <v>0</v>
      </c>
      <c r="I32" s="893"/>
      <c r="J32" s="901">
        <v>12</v>
      </c>
      <c r="K32" s="888"/>
      <c r="L32" s="892">
        <f t="shared" ref="L32:L43" si="1">H32*F32*J32*-1</f>
        <v>0</v>
      </c>
      <c r="M32" s="892"/>
      <c r="N32" s="892"/>
      <c r="O32" s="892"/>
      <c r="P32" s="891">
        <f t="shared" ref="P32:P43" si="2">(-L32+F32)*-1</f>
        <v>0</v>
      </c>
      <c r="Q32" s="879"/>
    </row>
    <row r="33" spans="1:17">
      <c r="A33" s="1319">
        <f t="shared" si="0"/>
        <v>29</v>
      </c>
      <c r="B33" s="889" t="s">
        <v>155</v>
      </c>
      <c r="C33" s="888"/>
      <c r="D33" s="958">
        <f>+D32</f>
        <v>0</v>
      </c>
      <c r="E33" s="888"/>
      <c r="F33" s="892">
        <f t="shared" ref="F33:F43" si="3">+F32</f>
        <v>0</v>
      </c>
      <c r="G33" s="892"/>
      <c r="H33" s="893">
        <f t="shared" ref="H33:H43" si="4">+H32</f>
        <v>0</v>
      </c>
      <c r="I33" s="893"/>
      <c r="J33" s="902">
        <f t="shared" ref="J33:J43" si="5">+J32-1</f>
        <v>11</v>
      </c>
      <c r="K33" s="886"/>
      <c r="L33" s="892">
        <f t="shared" si="1"/>
        <v>0</v>
      </c>
      <c r="M33" s="892"/>
      <c r="N33" s="892"/>
      <c r="O33" s="892"/>
      <c r="P33" s="891">
        <f t="shared" si="2"/>
        <v>0</v>
      </c>
      <c r="Q33" s="879"/>
    </row>
    <row r="34" spans="1:17">
      <c r="A34" s="1319">
        <f t="shared" si="0"/>
        <v>30</v>
      </c>
      <c r="B34" s="889" t="s">
        <v>154</v>
      </c>
      <c r="C34" s="888"/>
      <c r="D34" s="958">
        <f t="shared" ref="D34:D43" si="6">+D33</f>
        <v>0</v>
      </c>
      <c r="E34" s="888"/>
      <c r="F34" s="892">
        <f t="shared" si="3"/>
        <v>0</v>
      </c>
      <c r="G34" s="892"/>
      <c r="H34" s="893">
        <f t="shared" si="4"/>
        <v>0</v>
      </c>
      <c r="I34" s="893"/>
      <c r="J34" s="902">
        <f t="shared" si="5"/>
        <v>10</v>
      </c>
      <c r="K34" s="886"/>
      <c r="L34" s="892">
        <f t="shared" si="1"/>
        <v>0</v>
      </c>
      <c r="M34" s="892"/>
      <c r="N34" s="892"/>
      <c r="O34" s="892"/>
      <c r="P34" s="891">
        <f t="shared" si="2"/>
        <v>0</v>
      </c>
      <c r="Q34" s="879"/>
    </row>
    <row r="35" spans="1:17">
      <c r="A35" s="1319">
        <f t="shared" si="0"/>
        <v>31</v>
      </c>
      <c r="B35" s="889" t="s">
        <v>134</v>
      </c>
      <c r="C35" s="888"/>
      <c r="D35" s="958">
        <f t="shared" si="6"/>
        <v>0</v>
      </c>
      <c r="E35" s="888"/>
      <c r="F35" s="892">
        <f t="shared" si="3"/>
        <v>0</v>
      </c>
      <c r="G35" s="892"/>
      <c r="H35" s="893">
        <f t="shared" si="4"/>
        <v>0</v>
      </c>
      <c r="I35" s="893"/>
      <c r="J35" s="902">
        <f t="shared" si="5"/>
        <v>9</v>
      </c>
      <c r="K35" s="886"/>
      <c r="L35" s="892">
        <f t="shared" si="1"/>
        <v>0</v>
      </c>
      <c r="M35" s="892"/>
      <c r="N35" s="892"/>
      <c r="O35" s="892"/>
      <c r="P35" s="891">
        <f t="shared" si="2"/>
        <v>0</v>
      </c>
      <c r="Q35" s="879"/>
    </row>
    <row r="36" spans="1:17">
      <c r="A36" s="1319">
        <f t="shared" si="0"/>
        <v>32</v>
      </c>
      <c r="B36" s="889" t="s">
        <v>131</v>
      </c>
      <c r="C36" s="888"/>
      <c r="D36" s="958">
        <f t="shared" si="6"/>
        <v>0</v>
      </c>
      <c r="E36" s="888"/>
      <c r="F36" s="892">
        <f t="shared" si="3"/>
        <v>0</v>
      </c>
      <c r="G36" s="892"/>
      <c r="H36" s="893">
        <f t="shared" si="4"/>
        <v>0</v>
      </c>
      <c r="I36" s="893"/>
      <c r="J36" s="902">
        <f t="shared" si="5"/>
        <v>8</v>
      </c>
      <c r="K36" s="886"/>
      <c r="L36" s="892">
        <f t="shared" si="1"/>
        <v>0</v>
      </c>
      <c r="M36" s="892"/>
      <c r="N36" s="892"/>
      <c r="O36" s="892"/>
      <c r="P36" s="891">
        <f t="shared" si="2"/>
        <v>0</v>
      </c>
      <c r="Q36" s="879"/>
    </row>
    <row r="37" spans="1:17">
      <c r="A37" s="1319">
        <f t="shared" si="0"/>
        <v>33</v>
      </c>
      <c r="B37" s="889" t="s">
        <v>262</v>
      </c>
      <c r="C37" s="888"/>
      <c r="D37" s="958">
        <f t="shared" si="6"/>
        <v>0</v>
      </c>
      <c r="E37" s="888"/>
      <c r="F37" s="892">
        <f t="shared" si="3"/>
        <v>0</v>
      </c>
      <c r="G37" s="892"/>
      <c r="H37" s="893">
        <f t="shared" si="4"/>
        <v>0</v>
      </c>
      <c r="I37" s="893"/>
      <c r="J37" s="902">
        <f t="shared" si="5"/>
        <v>7</v>
      </c>
      <c r="K37" s="886"/>
      <c r="L37" s="892">
        <f t="shared" si="1"/>
        <v>0</v>
      </c>
      <c r="M37" s="892"/>
      <c r="N37" s="892"/>
      <c r="O37" s="892"/>
      <c r="P37" s="891">
        <f t="shared" si="2"/>
        <v>0</v>
      </c>
      <c r="Q37" s="879"/>
    </row>
    <row r="38" spans="1:17">
      <c r="A38" s="1319">
        <f t="shared" si="0"/>
        <v>34</v>
      </c>
      <c r="B38" s="889" t="s">
        <v>152</v>
      </c>
      <c r="C38" s="888"/>
      <c r="D38" s="958">
        <f t="shared" si="6"/>
        <v>0</v>
      </c>
      <c r="E38" s="888"/>
      <c r="F38" s="892">
        <f t="shared" si="3"/>
        <v>0</v>
      </c>
      <c r="G38" s="892"/>
      <c r="H38" s="893">
        <f t="shared" si="4"/>
        <v>0</v>
      </c>
      <c r="I38" s="893"/>
      <c r="J38" s="902">
        <f t="shared" si="5"/>
        <v>6</v>
      </c>
      <c r="K38" s="886"/>
      <c r="L38" s="892">
        <f t="shared" si="1"/>
        <v>0</v>
      </c>
      <c r="M38" s="892"/>
      <c r="N38" s="892"/>
      <c r="O38" s="892"/>
      <c r="P38" s="891">
        <f t="shared" si="2"/>
        <v>0</v>
      </c>
      <c r="Q38" s="879"/>
    </row>
    <row r="39" spans="1:17">
      <c r="A39" s="1319">
        <f t="shared" si="0"/>
        <v>35</v>
      </c>
      <c r="B39" s="889" t="s">
        <v>151</v>
      </c>
      <c r="C39" s="888"/>
      <c r="D39" s="958">
        <f t="shared" si="6"/>
        <v>0</v>
      </c>
      <c r="E39" s="888"/>
      <c r="F39" s="892">
        <f t="shared" si="3"/>
        <v>0</v>
      </c>
      <c r="G39" s="892"/>
      <c r="H39" s="893">
        <f t="shared" si="4"/>
        <v>0</v>
      </c>
      <c r="I39" s="893"/>
      <c r="J39" s="902">
        <f t="shared" si="5"/>
        <v>5</v>
      </c>
      <c r="K39" s="886"/>
      <c r="L39" s="892">
        <f t="shared" si="1"/>
        <v>0</v>
      </c>
      <c r="M39" s="892"/>
      <c r="N39" s="892"/>
      <c r="O39" s="892"/>
      <c r="P39" s="891">
        <f t="shared" si="2"/>
        <v>0</v>
      </c>
      <c r="Q39" s="879"/>
    </row>
    <row r="40" spans="1:17">
      <c r="A40" s="1319">
        <f t="shared" si="0"/>
        <v>36</v>
      </c>
      <c r="B40" s="889" t="s">
        <v>150</v>
      </c>
      <c r="C40" s="888"/>
      <c r="D40" s="958">
        <f t="shared" si="6"/>
        <v>0</v>
      </c>
      <c r="E40" s="888"/>
      <c r="F40" s="892">
        <f t="shared" si="3"/>
        <v>0</v>
      </c>
      <c r="G40" s="892"/>
      <c r="H40" s="893">
        <f t="shared" si="4"/>
        <v>0</v>
      </c>
      <c r="I40" s="893"/>
      <c r="J40" s="902">
        <f t="shared" si="5"/>
        <v>4</v>
      </c>
      <c r="K40" s="886"/>
      <c r="L40" s="892">
        <f t="shared" si="1"/>
        <v>0</v>
      </c>
      <c r="M40" s="892"/>
      <c r="N40" s="892"/>
      <c r="O40" s="892"/>
      <c r="P40" s="891">
        <f t="shared" si="2"/>
        <v>0</v>
      </c>
      <c r="Q40" s="879"/>
    </row>
    <row r="41" spans="1:17">
      <c r="A41" s="1319">
        <f t="shared" si="0"/>
        <v>37</v>
      </c>
      <c r="B41" s="889" t="s">
        <v>161</v>
      </c>
      <c r="C41" s="888"/>
      <c r="D41" s="958">
        <f t="shared" si="6"/>
        <v>0</v>
      </c>
      <c r="E41" s="888"/>
      <c r="F41" s="892">
        <f t="shared" si="3"/>
        <v>0</v>
      </c>
      <c r="G41" s="892"/>
      <c r="H41" s="893">
        <f t="shared" si="4"/>
        <v>0</v>
      </c>
      <c r="I41" s="893"/>
      <c r="J41" s="902">
        <f t="shared" si="5"/>
        <v>3</v>
      </c>
      <c r="K41" s="886"/>
      <c r="L41" s="892">
        <f t="shared" si="1"/>
        <v>0</v>
      </c>
      <c r="M41" s="892"/>
      <c r="N41" s="892"/>
      <c r="O41" s="892"/>
      <c r="P41" s="891">
        <f t="shared" si="2"/>
        <v>0</v>
      </c>
      <c r="Q41" s="879"/>
    </row>
    <row r="42" spans="1:17">
      <c r="A42" s="1319">
        <f t="shared" si="0"/>
        <v>38</v>
      </c>
      <c r="B42" s="889" t="s">
        <v>148</v>
      </c>
      <c r="C42" s="888"/>
      <c r="D42" s="958">
        <f t="shared" si="6"/>
        <v>0</v>
      </c>
      <c r="E42" s="888"/>
      <c r="F42" s="892">
        <f t="shared" si="3"/>
        <v>0</v>
      </c>
      <c r="G42" s="892"/>
      <c r="H42" s="893">
        <f t="shared" si="4"/>
        <v>0</v>
      </c>
      <c r="I42" s="893"/>
      <c r="J42" s="902">
        <f t="shared" si="5"/>
        <v>2</v>
      </c>
      <c r="K42" s="886"/>
      <c r="L42" s="892">
        <f t="shared" si="1"/>
        <v>0</v>
      </c>
      <c r="M42" s="892"/>
      <c r="N42" s="892"/>
      <c r="O42" s="892"/>
      <c r="P42" s="891">
        <f t="shared" si="2"/>
        <v>0</v>
      </c>
      <c r="Q42" s="879"/>
    </row>
    <row r="43" spans="1:17">
      <c r="A43" s="1319">
        <f t="shared" si="0"/>
        <v>39</v>
      </c>
      <c r="B43" s="889" t="s">
        <v>146</v>
      </c>
      <c r="C43" s="888"/>
      <c r="D43" s="958">
        <f t="shared" si="6"/>
        <v>0</v>
      </c>
      <c r="E43" s="888"/>
      <c r="F43" s="892">
        <f t="shared" si="3"/>
        <v>0</v>
      </c>
      <c r="G43" s="892"/>
      <c r="H43" s="893">
        <f t="shared" si="4"/>
        <v>0</v>
      </c>
      <c r="I43" s="893"/>
      <c r="J43" s="902">
        <f t="shared" si="5"/>
        <v>1</v>
      </c>
      <c r="K43" s="886"/>
      <c r="L43" s="895">
        <f t="shared" si="1"/>
        <v>0</v>
      </c>
      <c r="M43" s="892"/>
      <c r="N43" s="892"/>
      <c r="O43" s="892"/>
      <c r="P43" s="891">
        <f t="shared" si="2"/>
        <v>0</v>
      </c>
      <c r="Q43" s="879"/>
    </row>
    <row r="44" spans="1:17">
      <c r="A44" s="1319">
        <f t="shared" si="0"/>
        <v>40</v>
      </c>
      <c r="B44" s="889"/>
      <c r="C44" s="888"/>
      <c r="D44" s="888"/>
      <c r="E44" s="888"/>
      <c r="F44" s="892"/>
      <c r="G44" s="892"/>
      <c r="H44" s="893"/>
      <c r="I44" s="893"/>
      <c r="J44" s="886"/>
      <c r="K44" s="886"/>
      <c r="L44" s="892">
        <f>SUM(L32:L43)</f>
        <v>0</v>
      </c>
      <c r="M44" s="892"/>
      <c r="N44" s="892"/>
      <c r="O44" s="892"/>
      <c r="P44" s="900">
        <f>SUM(P32:P43)</f>
        <v>0</v>
      </c>
      <c r="Q44" s="879"/>
    </row>
    <row r="45" spans="1:17">
      <c r="A45" s="1319">
        <f t="shared" si="0"/>
        <v>41</v>
      </c>
      <c r="B45" s="889"/>
      <c r="C45" s="888"/>
      <c r="D45" s="888"/>
      <c r="E45" s="888"/>
      <c r="F45" s="892"/>
      <c r="G45" s="892"/>
      <c r="H45" s="893"/>
      <c r="I45" s="893"/>
      <c r="J45" s="886"/>
      <c r="K45" s="886"/>
      <c r="L45" s="892"/>
      <c r="M45" s="892"/>
      <c r="N45" s="892"/>
      <c r="O45" s="892"/>
      <c r="P45" s="900"/>
      <c r="Q45" s="879"/>
    </row>
    <row r="46" spans="1:17">
      <c r="A46" s="1319">
        <f t="shared" si="0"/>
        <v>42</v>
      </c>
      <c r="B46" s="889"/>
      <c r="C46" s="888"/>
      <c r="D46" s="888"/>
      <c r="E46" s="888"/>
      <c r="F46" s="892"/>
      <c r="G46" s="892"/>
      <c r="H46" s="893"/>
      <c r="I46" s="893"/>
      <c r="J46" s="886"/>
      <c r="K46" s="886"/>
      <c r="L46" s="897" t="s">
        <v>263</v>
      </c>
      <c r="M46" s="892"/>
      <c r="N46" s="892"/>
      <c r="O46" s="892"/>
      <c r="P46" s="900"/>
      <c r="Q46" s="879"/>
    </row>
    <row r="47" spans="1:17">
      <c r="A47" s="1319">
        <f t="shared" si="0"/>
        <v>43</v>
      </c>
      <c r="B47" s="889"/>
      <c r="C47" s="888"/>
      <c r="D47" s="888"/>
      <c r="E47" s="888"/>
      <c r="F47" s="892"/>
      <c r="G47" s="892"/>
      <c r="H47" s="893"/>
      <c r="I47" s="893"/>
      <c r="J47" s="886"/>
      <c r="K47" s="886"/>
      <c r="L47" s="897"/>
      <c r="M47" s="892"/>
      <c r="N47" s="892"/>
      <c r="O47" s="892"/>
      <c r="P47" s="900"/>
      <c r="Q47" s="879"/>
    </row>
    <row r="48" spans="1:17">
      <c r="A48" s="1319">
        <f t="shared" si="0"/>
        <v>44</v>
      </c>
      <c r="B48" s="889" t="s">
        <v>264</v>
      </c>
      <c r="C48" s="888"/>
      <c r="D48" s="959">
        <f>+D43+1</f>
        <v>1</v>
      </c>
      <c r="E48" s="888"/>
      <c r="F48" s="892">
        <f>P44</f>
        <v>0</v>
      </c>
      <c r="G48" s="892"/>
      <c r="H48" s="893">
        <f>+N11</f>
        <v>0</v>
      </c>
      <c r="I48" s="893"/>
      <c r="J48" s="901">
        <v>12</v>
      </c>
      <c r="K48" s="888"/>
      <c r="L48" s="892">
        <f>+J48*H48*F48</f>
        <v>0</v>
      </c>
      <c r="M48" s="892"/>
      <c r="N48" s="892" t="s">
        <v>8</v>
      </c>
      <c r="O48" s="892"/>
      <c r="P48" s="900">
        <f>+F48+L48</f>
        <v>0</v>
      </c>
      <c r="Q48" s="879"/>
    </row>
    <row r="49" spans="1:18">
      <c r="A49" s="1319">
        <f t="shared" si="0"/>
        <v>45</v>
      </c>
      <c r="B49" s="889" t="s">
        <v>264</v>
      </c>
      <c r="C49" s="888"/>
      <c r="D49" s="959">
        <f>+D48+1</f>
        <v>2</v>
      </c>
      <c r="E49" s="888"/>
      <c r="F49" s="894">
        <f>P48</f>
        <v>0</v>
      </c>
      <c r="G49" s="894"/>
      <c r="H49" s="893">
        <f>+N12</f>
        <v>0</v>
      </c>
      <c r="I49" s="893"/>
      <c r="J49" s="901">
        <v>12</v>
      </c>
      <c r="K49" s="888"/>
      <c r="L49" s="892">
        <f>+J49*H49*F49</f>
        <v>0</v>
      </c>
      <c r="M49" s="892"/>
      <c r="N49" s="892"/>
      <c r="O49" s="892"/>
      <c r="P49" s="900">
        <f>+F49+L49</f>
        <v>0</v>
      </c>
      <c r="Q49" s="879"/>
    </row>
    <row r="50" spans="1:18">
      <c r="A50" s="1319">
        <f t="shared" si="0"/>
        <v>46</v>
      </c>
      <c r="B50" s="889" t="s">
        <v>264</v>
      </c>
      <c r="C50" s="888"/>
      <c r="D50" s="959">
        <f>+D49+1</f>
        <v>3</v>
      </c>
      <c r="E50" s="888"/>
      <c r="F50" s="894">
        <f>P49</f>
        <v>0</v>
      </c>
      <c r="G50" s="894"/>
      <c r="H50" s="893">
        <f>+N12</f>
        <v>0</v>
      </c>
      <c r="I50" s="893"/>
      <c r="J50" s="901">
        <v>12</v>
      </c>
      <c r="K50" s="888"/>
      <c r="L50" s="892">
        <f>+J50*H50*F50</f>
        <v>0</v>
      </c>
      <c r="M50" s="892"/>
      <c r="N50" s="892"/>
      <c r="O50" s="892"/>
      <c r="P50" s="900">
        <f>+F50+L50</f>
        <v>0</v>
      </c>
      <c r="Q50" s="879"/>
    </row>
    <row r="51" spans="1:18">
      <c r="A51" s="1319">
        <f t="shared" si="0"/>
        <v>47</v>
      </c>
      <c r="B51" s="889"/>
      <c r="C51" s="888"/>
      <c r="D51" s="959"/>
      <c r="E51" s="888"/>
      <c r="F51" s="894"/>
      <c r="G51" s="894"/>
      <c r="H51" s="893"/>
      <c r="I51" s="893"/>
      <c r="J51" s="901"/>
      <c r="K51" s="888"/>
      <c r="L51" s="892"/>
      <c r="M51" s="892"/>
      <c r="N51" s="892"/>
      <c r="O51" s="892"/>
      <c r="P51" s="900"/>
      <c r="Q51" s="879"/>
    </row>
    <row r="52" spans="1:18">
      <c r="A52" s="1319">
        <f t="shared" si="0"/>
        <v>48</v>
      </c>
      <c r="B52" s="889"/>
      <c r="C52" s="888"/>
      <c r="D52" s="959"/>
      <c r="E52" s="888"/>
      <c r="F52" s="894"/>
      <c r="G52" s="894"/>
      <c r="H52" s="893"/>
      <c r="I52" s="893"/>
      <c r="J52" s="901"/>
      <c r="K52" s="888"/>
      <c r="L52" s="892"/>
      <c r="M52" s="892"/>
      <c r="N52" s="892"/>
      <c r="O52" s="892"/>
      <c r="P52" s="900"/>
      <c r="Q52" s="879"/>
    </row>
    <row r="53" spans="1:18">
      <c r="A53" s="1319">
        <f t="shared" si="0"/>
        <v>49</v>
      </c>
      <c r="B53" s="889"/>
      <c r="C53" s="888"/>
      <c r="D53" s="888"/>
      <c r="E53" s="888"/>
      <c r="F53" s="894"/>
      <c r="G53" s="894"/>
      <c r="H53" s="893"/>
      <c r="I53" s="893"/>
      <c r="J53" s="888"/>
      <c r="K53" s="888"/>
      <c r="L53" s="892"/>
      <c r="M53" s="892"/>
      <c r="N53" s="892"/>
      <c r="O53" s="892"/>
      <c r="P53" s="900"/>
      <c r="Q53" s="879"/>
    </row>
    <row r="54" spans="1:18">
      <c r="A54" s="1319">
        <f t="shared" si="0"/>
        <v>50</v>
      </c>
      <c r="B54" s="889"/>
      <c r="C54" s="888"/>
      <c r="D54" s="888"/>
      <c r="E54" s="888"/>
      <c r="F54" s="894"/>
      <c r="G54" s="894"/>
      <c r="H54" s="893"/>
      <c r="I54" s="893"/>
      <c r="J54" s="888"/>
      <c r="K54" s="888"/>
      <c r="L54" s="892"/>
      <c r="M54" s="892"/>
      <c r="N54" s="892"/>
      <c r="O54" s="892"/>
      <c r="P54" s="891"/>
      <c r="Q54" s="879"/>
    </row>
    <row r="55" spans="1:18">
      <c r="A55" s="1319">
        <f t="shared" si="0"/>
        <v>51</v>
      </c>
      <c r="B55" s="899" t="s">
        <v>265</v>
      </c>
      <c r="C55" s="898"/>
      <c r="D55" s="888"/>
      <c r="E55" s="888"/>
      <c r="F55" s="892"/>
      <c r="G55" s="892"/>
      <c r="H55" s="893"/>
      <c r="I55" s="893"/>
      <c r="J55" s="888"/>
      <c r="K55" s="888"/>
      <c r="L55" s="897" t="s">
        <v>261</v>
      </c>
      <c r="M55" s="897"/>
      <c r="N55" s="892"/>
      <c r="O55" s="892"/>
      <c r="P55" s="891"/>
      <c r="Q55" s="879"/>
    </row>
    <row r="56" spans="1:18">
      <c r="A56" s="1319">
        <f t="shared" si="0"/>
        <v>52</v>
      </c>
      <c r="B56" s="889" t="s">
        <v>156</v>
      </c>
      <c r="C56" s="888"/>
      <c r="D56" s="958">
        <f>+D50+1</f>
        <v>4</v>
      </c>
      <c r="E56" s="888"/>
      <c r="F56" s="896">
        <f>+P50</f>
        <v>0</v>
      </c>
      <c r="G56" s="894"/>
      <c r="H56" s="893">
        <f>+H50</f>
        <v>0</v>
      </c>
      <c r="I56" s="893"/>
      <c r="J56" s="888"/>
      <c r="K56" s="888"/>
      <c r="L56" s="892">
        <f t="shared" ref="L56:L67" si="7" xml:space="preserve"> -H56*F56</f>
        <v>0</v>
      </c>
      <c r="M56" s="892"/>
      <c r="N56" s="892">
        <f>-PMT(H56,12,P50)</f>
        <v>0</v>
      </c>
      <c r="O56" s="892"/>
      <c r="P56" s="891">
        <f t="shared" ref="P56:P67" si="8">(+F56+F56*H56+N56)*-1</f>
        <v>0</v>
      </c>
      <c r="Q56" s="920"/>
      <c r="R56" s="919"/>
    </row>
    <row r="57" spans="1:18">
      <c r="A57" s="1319">
        <f t="shared" si="0"/>
        <v>53</v>
      </c>
      <c r="B57" s="889" t="s">
        <v>155</v>
      </c>
      <c r="C57" s="888"/>
      <c r="D57" s="958">
        <f>+D56</f>
        <v>4</v>
      </c>
      <c r="E57" s="888"/>
      <c r="F57" s="894">
        <f t="shared" ref="F57:F67" si="9">-P56</f>
        <v>0</v>
      </c>
      <c r="G57" s="894"/>
      <c r="H57" s="893">
        <f t="shared" ref="H57:H67" si="10">+H56</f>
        <v>0</v>
      </c>
      <c r="I57" s="893"/>
      <c r="J57" s="888"/>
      <c r="K57" s="888"/>
      <c r="L57" s="892">
        <f t="shared" si="7"/>
        <v>0</v>
      </c>
      <c r="M57" s="892"/>
      <c r="N57" s="892">
        <f t="shared" ref="N57:N67" si="11">N56</f>
        <v>0</v>
      </c>
      <c r="O57" s="892"/>
      <c r="P57" s="891">
        <f t="shared" si="8"/>
        <v>0</v>
      </c>
      <c r="Q57" s="920"/>
      <c r="R57" s="919"/>
    </row>
    <row r="58" spans="1:18">
      <c r="A58" s="1319">
        <f t="shared" si="0"/>
        <v>54</v>
      </c>
      <c r="B58" s="889" t="s">
        <v>154</v>
      </c>
      <c r="C58" s="888"/>
      <c r="D58" s="958">
        <f t="shared" ref="D58:D67" si="12">+D57</f>
        <v>4</v>
      </c>
      <c r="E58" s="888"/>
      <c r="F58" s="894">
        <f t="shared" si="9"/>
        <v>0</v>
      </c>
      <c r="G58" s="894"/>
      <c r="H58" s="893">
        <f t="shared" si="10"/>
        <v>0</v>
      </c>
      <c r="I58" s="893"/>
      <c r="J58" s="888"/>
      <c r="K58" s="888"/>
      <c r="L58" s="892">
        <f t="shared" si="7"/>
        <v>0</v>
      </c>
      <c r="M58" s="892"/>
      <c r="N58" s="892">
        <f t="shared" si="11"/>
        <v>0</v>
      </c>
      <c r="O58" s="892"/>
      <c r="P58" s="891">
        <f t="shared" si="8"/>
        <v>0</v>
      </c>
      <c r="Q58" s="920"/>
      <c r="R58" s="919"/>
    </row>
    <row r="59" spans="1:18">
      <c r="A59" s="1319">
        <f t="shared" si="0"/>
        <v>55</v>
      </c>
      <c r="B59" s="889" t="s">
        <v>134</v>
      </c>
      <c r="C59" s="888"/>
      <c r="D59" s="958">
        <f t="shared" si="12"/>
        <v>4</v>
      </c>
      <c r="E59" s="888"/>
      <c r="F59" s="894">
        <f t="shared" si="9"/>
        <v>0</v>
      </c>
      <c r="G59" s="894"/>
      <c r="H59" s="893">
        <f t="shared" si="10"/>
        <v>0</v>
      </c>
      <c r="I59" s="893"/>
      <c r="J59" s="888"/>
      <c r="K59" s="888"/>
      <c r="L59" s="892">
        <f t="shared" si="7"/>
        <v>0</v>
      </c>
      <c r="M59" s="892"/>
      <c r="N59" s="892">
        <f t="shared" si="11"/>
        <v>0</v>
      </c>
      <c r="O59" s="892"/>
      <c r="P59" s="891">
        <f t="shared" si="8"/>
        <v>0</v>
      </c>
      <c r="Q59" s="920"/>
      <c r="R59" s="919"/>
    </row>
    <row r="60" spans="1:18">
      <c r="A60" s="1319">
        <f t="shared" si="0"/>
        <v>56</v>
      </c>
      <c r="B60" s="889" t="s">
        <v>131</v>
      </c>
      <c r="C60" s="888"/>
      <c r="D60" s="958">
        <f t="shared" si="12"/>
        <v>4</v>
      </c>
      <c r="E60" s="888"/>
      <c r="F60" s="894">
        <f t="shared" si="9"/>
        <v>0</v>
      </c>
      <c r="G60" s="894"/>
      <c r="H60" s="893">
        <f t="shared" si="10"/>
        <v>0</v>
      </c>
      <c r="I60" s="893"/>
      <c r="J60" s="888"/>
      <c r="K60" s="888"/>
      <c r="L60" s="892">
        <f t="shared" si="7"/>
        <v>0</v>
      </c>
      <c r="M60" s="892"/>
      <c r="N60" s="892">
        <f t="shared" si="11"/>
        <v>0</v>
      </c>
      <c r="O60" s="892"/>
      <c r="P60" s="891">
        <f t="shared" si="8"/>
        <v>0</v>
      </c>
      <c r="Q60" s="920"/>
      <c r="R60" s="919"/>
    </row>
    <row r="61" spans="1:18">
      <c r="A61" s="1319">
        <f t="shared" si="0"/>
        <v>57</v>
      </c>
      <c r="B61" s="889" t="s">
        <v>262</v>
      </c>
      <c r="C61" s="888"/>
      <c r="D61" s="958">
        <f t="shared" si="12"/>
        <v>4</v>
      </c>
      <c r="E61" s="888"/>
      <c r="F61" s="894">
        <f t="shared" si="9"/>
        <v>0</v>
      </c>
      <c r="G61" s="894"/>
      <c r="H61" s="893">
        <f t="shared" si="10"/>
        <v>0</v>
      </c>
      <c r="I61" s="893"/>
      <c r="J61" s="888"/>
      <c r="K61" s="888"/>
      <c r="L61" s="892">
        <f t="shared" si="7"/>
        <v>0</v>
      </c>
      <c r="M61" s="892"/>
      <c r="N61" s="892">
        <f t="shared" si="11"/>
        <v>0</v>
      </c>
      <c r="O61" s="892"/>
      <c r="P61" s="891">
        <f t="shared" si="8"/>
        <v>0</v>
      </c>
      <c r="Q61" s="920"/>
      <c r="R61" s="919"/>
    </row>
    <row r="62" spans="1:18">
      <c r="A62" s="1319">
        <f t="shared" si="0"/>
        <v>58</v>
      </c>
      <c r="B62" s="889" t="s">
        <v>152</v>
      </c>
      <c r="C62" s="888"/>
      <c r="D62" s="958">
        <f t="shared" si="12"/>
        <v>4</v>
      </c>
      <c r="E62" s="888"/>
      <c r="F62" s="894">
        <f t="shared" si="9"/>
        <v>0</v>
      </c>
      <c r="G62" s="894"/>
      <c r="H62" s="893">
        <f t="shared" si="10"/>
        <v>0</v>
      </c>
      <c r="I62" s="893"/>
      <c r="J62" s="888"/>
      <c r="K62" s="888"/>
      <c r="L62" s="892">
        <f t="shared" si="7"/>
        <v>0</v>
      </c>
      <c r="M62" s="892"/>
      <c r="N62" s="892">
        <f t="shared" si="11"/>
        <v>0</v>
      </c>
      <c r="O62" s="892"/>
      <c r="P62" s="891">
        <f t="shared" si="8"/>
        <v>0</v>
      </c>
      <c r="Q62" s="920"/>
      <c r="R62" s="919"/>
    </row>
    <row r="63" spans="1:18">
      <c r="A63" s="1319">
        <f t="shared" si="0"/>
        <v>59</v>
      </c>
      <c r="B63" s="889" t="s">
        <v>151</v>
      </c>
      <c r="C63" s="888"/>
      <c r="D63" s="958">
        <f t="shared" si="12"/>
        <v>4</v>
      </c>
      <c r="E63" s="888"/>
      <c r="F63" s="894">
        <f t="shared" si="9"/>
        <v>0</v>
      </c>
      <c r="G63" s="894"/>
      <c r="H63" s="893">
        <f t="shared" si="10"/>
        <v>0</v>
      </c>
      <c r="I63" s="893"/>
      <c r="J63" s="888"/>
      <c r="K63" s="888"/>
      <c r="L63" s="892">
        <f t="shared" si="7"/>
        <v>0</v>
      </c>
      <c r="M63" s="892"/>
      <c r="N63" s="892">
        <f t="shared" si="11"/>
        <v>0</v>
      </c>
      <c r="O63" s="892"/>
      <c r="P63" s="891">
        <f t="shared" si="8"/>
        <v>0</v>
      </c>
      <c r="Q63" s="920"/>
      <c r="R63" s="919"/>
    </row>
    <row r="64" spans="1:18">
      <c r="A64" s="1319">
        <f t="shared" si="0"/>
        <v>60</v>
      </c>
      <c r="B64" s="889" t="s">
        <v>150</v>
      </c>
      <c r="C64" s="888"/>
      <c r="D64" s="958">
        <f t="shared" si="12"/>
        <v>4</v>
      </c>
      <c r="E64" s="888"/>
      <c r="F64" s="894">
        <f t="shared" si="9"/>
        <v>0</v>
      </c>
      <c r="G64" s="894"/>
      <c r="H64" s="893">
        <f t="shared" si="10"/>
        <v>0</v>
      </c>
      <c r="I64" s="893"/>
      <c r="J64" s="888"/>
      <c r="K64" s="888"/>
      <c r="L64" s="892">
        <f t="shared" si="7"/>
        <v>0</v>
      </c>
      <c r="M64" s="892"/>
      <c r="N64" s="892">
        <f t="shared" si="11"/>
        <v>0</v>
      </c>
      <c r="O64" s="892"/>
      <c r="P64" s="891">
        <f t="shared" si="8"/>
        <v>0</v>
      </c>
      <c r="Q64" s="920"/>
      <c r="R64" s="919"/>
    </row>
    <row r="65" spans="1:18">
      <c r="A65" s="1319">
        <f t="shared" si="0"/>
        <v>61</v>
      </c>
      <c r="B65" s="889" t="s">
        <v>161</v>
      </c>
      <c r="C65" s="888"/>
      <c r="D65" s="958">
        <f t="shared" si="12"/>
        <v>4</v>
      </c>
      <c r="E65" s="888"/>
      <c r="F65" s="894">
        <f t="shared" si="9"/>
        <v>0</v>
      </c>
      <c r="G65" s="894"/>
      <c r="H65" s="893">
        <f t="shared" si="10"/>
        <v>0</v>
      </c>
      <c r="I65" s="893"/>
      <c r="J65" s="888"/>
      <c r="K65" s="888"/>
      <c r="L65" s="892">
        <f t="shared" si="7"/>
        <v>0</v>
      </c>
      <c r="M65" s="892"/>
      <c r="N65" s="892">
        <f t="shared" si="11"/>
        <v>0</v>
      </c>
      <c r="O65" s="892"/>
      <c r="P65" s="891">
        <f t="shared" si="8"/>
        <v>0</v>
      </c>
      <c r="Q65" s="920"/>
      <c r="R65" s="919"/>
    </row>
    <row r="66" spans="1:18">
      <c r="A66" s="1319">
        <f t="shared" si="0"/>
        <v>62</v>
      </c>
      <c r="B66" s="889" t="s">
        <v>148</v>
      </c>
      <c r="C66" s="888"/>
      <c r="D66" s="958">
        <f t="shared" si="12"/>
        <v>4</v>
      </c>
      <c r="E66" s="888"/>
      <c r="F66" s="894">
        <f t="shared" si="9"/>
        <v>0</v>
      </c>
      <c r="G66" s="894"/>
      <c r="H66" s="893">
        <f t="shared" si="10"/>
        <v>0</v>
      </c>
      <c r="I66" s="893"/>
      <c r="J66" s="888"/>
      <c r="K66" s="888"/>
      <c r="L66" s="892">
        <f t="shared" si="7"/>
        <v>0</v>
      </c>
      <c r="M66" s="892"/>
      <c r="N66" s="892">
        <f t="shared" si="11"/>
        <v>0</v>
      </c>
      <c r="O66" s="892"/>
      <c r="P66" s="891">
        <f t="shared" si="8"/>
        <v>0</v>
      </c>
      <c r="Q66" s="920"/>
      <c r="R66" s="919"/>
    </row>
    <row r="67" spans="1:18">
      <c r="A67" s="1319">
        <f t="shared" si="0"/>
        <v>63</v>
      </c>
      <c r="B67" s="889" t="s">
        <v>146</v>
      </c>
      <c r="C67" s="888"/>
      <c r="D67" s="958">
        <f t="shared" si="12"/>
        <v>4</v>
      </c>
      <c r="E67" s="888"/>
      <c r="F67" s="894">
        <f t="shared" si="9"/>
        <v>0</v>
      </c>
      <c r="G67" s="894"/>
      <c r="H67" s="893">
        <f t="shared" si="10"/>
        <v>0</v>
      </c>
      <c r="I67" s="893"/>
      <c r="J67" s="888"/>
      <c r="K67" s="888"/>
      <c r="L67" s="895">
        <f t="shared" si="7"/>
        <v>0</v>
      </c>
      <c r="M67" s="892"/>
      <c r="N67" s="892">
        <f t="shared" si="11"/>
        <v>0</v>
      </c>
      <c r="O67" s="892"/>
      <c r="P67" s="891">
        <f t="shared" si="8"/>
        <v>0</v>
      </c>
      <c r="Q67" s="920"/>
      <c r="R67" s="919"/>
    </row>
    <row r="68" spans="1:18">
      <c r="A68" s="1319">
        <f t="shared" si="0"/>
        <v>64</v>
      </c>
      <c r="B68" s="889"/>
      <c r="C68" s="888"/>
      <c r="D68" s="888"/>
      <c r="E68" s="888"/>
      <c r="F68" s="894"/>
      <c r="G68" s="894"/>
      <c r="H68" s="893"/>
      <c r="I68" s="893"/>
      <c r="J68" s="888"/>
      <c r="K68" s="888"/>
      <c r="L68" s="892">
        <f>SUM(L56:L67)</f>
        <v>0</v>
      </c>
      <c r="M68" s="892"/>
      <c r="N68" s="892"/>
      <c r="O68" s="892"/>
      <c r="P68" s="891"/>
      <c r="Q68" s="920"/>
      <c r="R68" s="919"/>
    </row>
    <row r="69" spans="1:18">
      <c r="A69" s="1319">
        <f t="shared" si="0"/>
        <v>65</v>
      </c>
      <c r="B69" s="890"/>
      <c r="C69" s="886"/>
      <c r="D69" s="886"/>
      <c r="E69" s="886"/>
      <c r="F69" s="886"/>
      <c r="G69" s="886"/>
      <c r="H69" s="886"/>
      <c r="I69" s="886"/>
      <c r="J69" s="886"/>
      <c r="K69" s="886"/>
      <c r="L69" s="886"/>
      <c r="M69" s="886"/>
      <c r="N69" s="886"/>
      <c r="O69" s="886"/>
      <c r="P69" s="885"/>
      <c r="Q69" s="879"/>
    </row>
    <row r="70" spans="1:18">
      <c r="A70" s="1319">
        <f t="shared" si="0"/>
        <v>66</v>
      </c>
      <c r="B70" s="889" t="s">
        <v>584</v>
      </c>
      <c r="C70" s="888"/>
      <c r="D70" s="886"/>
      <c r="E70" s="886"/>
      <c r="F70" s="886"/>
      <c r="G70" s="886"/>
      <c r="H70" s="886"/>
      <c r="I70" s="886"/>
      <c r="J70" s="886"/>
      <c r="K70" s="886"/>
      <c r="L70" s="886"/>
      <c r="M70" s="886"/>
      <c r="N70" s="887">
        <f>SUM(N56:N67)</f>
        <v>0</v>
      </c>
      <c r="O70" s="886"/>
      <c r="P70" s="885"/>
      <c r="Q70" s="879"/>
    </row>
    <row r="71" spans="1:18">
      <c r="A71" s="1319">
        <f t="shared" ref="A71:A134" si="13">+A70+1</f>
        <v>67</v>
      </c>
      <c r="B71" s="889" t="s">
        <v>266</v>
      </c>
      <c r="C71" s="888"/>
      <c r="D71" s="886"/>
      <c r="E71" s="886"/>
      <c r="F71" s="886"/>
      <c r="G71" s="886"/>
      <c r="H71" s="886"/>
      <c r="I71" s="886"/>
      <c r="J71" s="886"/>
      <c r="K71" s="886"/>
      <c r="L71" s="886"/>
      <c r="M71" s="886"/>
      <c r="N71" s="887">
        <f>L10</f>
        <v>0</v>
      </c>
      <c r="O71" s="886"/>
      <c r="P71" s="885"/>
      <c r="Q71" s="879"/>
    </row>
    <row r="72" spans="1:18">
      <c r="A72" s="1319">
        <f t="shared" si="13"/>
        <v>68</v>
      </c>
      <c r="B72" s="884" t="s">
        <v>267</v>
      </c>
      <c r="C72" s="883"/>
      <c r="D72" s="881"/>
      <c r="E72" s="881"/>
      <c r="F72" s="881"/>
      <c r="G72" s="881"/>
      <c r="H72" s="881"/>
      <c r="I72" s="881"/>
      <c r="J72" s="881"/>
      <c r="K72" s="881"/>
      <c r="L72" s="881"/>
      <c r="M72" s="881"/>
      <c r="N72" s="882">
        <f>(N70+N71)</f>
        <v>0</v>
      </c>
      <c r="O72" s="881"/>
      <c r="P72" s="880"/>
      <c r="Q72" s="879"/>
    </row>
    <row r="73" spans="1:18">
      <c r="A73" s="1319">
        <f t="shared" si="13"/>
        <v>69</v>
      </c>
      <c r="B73" s="879"/>
      <c r="C73" s="879"/>
      <c r="D73" s="879"/>
      <c r="E73" s="879"/>
      <c r="F73" s="879"/>
      <c r="G73" s="879"/>
      <c r="H73" s="879"/>
      <c r="I73" s="879"/>
      <c r="J73" s="879"/>
      <c r="K73" s="879"/>
      <c r="L73" s="879"/>
      <c r="M73" s="879"/>
      <c r="N73" s="879"/>
      <c r="O73" s="879"/>
      <c r="P73" s="879"/>
      <c r="Q73" s="879"/>
    </row>
    <row r="74" spans="1:18">
      <c r="A74" s="1319">
        <f t="shared" si="13"/>
        <v>70</v>
      </c>
      <c r="O74" s="879"/>
      <c r="P74" s="879"/>
      <c r="Q74" s="879"/>
    </row>
    <row r="75" spans="1:18">
      <c r="A75" s="1319">
        <f t="shared" si="13"/>
        <v>71</v>
      </c>
      <c r="B75" s="1603" t="s">
        <v>825</v>
      </c>
      <c r="C75" s="1603"/>
      <c r="D75" s="1603"/>
      <c r="E75" s="1603"/>
      <c r="F75" s="1603"/>
      <c r="G75" s="1603"/>
      <c r="H75" s="1603"/>
      <c r="I75" s="1603"/>
      <c r="J75" s="1603"/>
      <c r="K75" s="1603"/>
      <c r="L75" s="1603"/>
      <c r="M75" s="1603"/>
      <c r="N75" s="1603"/>
      <c r="O75" s="879"/>
      <c r="P75" s="879"/>
      <c r="Q75" s="879"/>
    </row>
    <row r="76" spans="1:18">
      <c r="A76" s="1319">
        <f t="shared" si="13"/>
        <v>72</v>
      </c>
      <c r="B76" s="1608" t="str">
        <f>+B3</f>
        <v>MidAmerican Central California Transco, LLC</v>
      </c>
      <c r="C76" s="1608"/>
      <c r="D76" s="1608"/>
      <c r="E76" s="1608"/>
      <c r="F76" s="1608"/>
      <c r="G76" s="1608"/>
      <c r="H76" s="1608"/>
      <c r="I76" s="1608"/>
      <c r="J76" s="1608"/>
      <c r="K76" s="1608"/>
      <c r="L76" s="1608"/>
      <c r="M76" s="1608"/>
      <c r="N76" s="1608"/>
      <c r="O76" s="879"/>
      <c r="P76" s="879"/>
      <c r="Q76" s="879"/>
    </row>
    <row r="77" spans="1:18">
      <c r="A77" s="1319">
        <f t="shared" si="13"/>
        <v>73</v>
      </c>
      <c r="B77" s="1603"/>
      <c r="C77" s="1603"/>
      <c r="D77" s="1603"/>
      <c r="E77" s="1603"/>
      <c r="F77" s="1603"/>
      <c r="G77" s="1603"/>
      <c r="H77" s="1603"/>
      <c r="I77" s="1603"/>
      <c r="J77" s="1603"/>
      <c r="K77" s="1603"/>
      <c r="L77" s="1603"/>
      <c r="M77" s="1603"/>
      <c r="N77" s="1603"/>
      <c r="O77" s="879"/>
      <c r="P77" s="879"/>
      <c r="Q77" s="879"/>
    </row>
    <row r="78" spans="1:18">
      <c r="A78" s="1319">
        <f t="shared" si="13"/>
        <v>74</v>
      </c>
      <c r="B78" s="918"/>
      <c r="C78" s="918"/>
      <c r="D78" s="915"/>
      <c r="E78" s="915"/>
      <c r="F78" s="915"/>
      <c r="G78" s="915"/>
      <c r="H78" s="917"/>
      <c r="I78" s="917"/>
      <c r="J78" s="915"/>
      <c r="K78" s="915"/>
      <c r="L78" s="915"/>
      <c r="M78" s="915"/>
      <c r="N78" s="916"/>
      <c r="O78" s="915"/>
      <c r="P78" s="915"/>
      <c r="Q78" s="879"/>
    </row>
    <row r="79" spans="1:18">
      <c r="A79" s="1319">
        <f t="shared" si="13"/>
        <v>75</v>
      </c>
      <c r="B79" s="914" t="s">
        <v>595</v>
      </c>
      <c r="C79" s="906"/>
      <c r="D79" s="904"/>
      <c r="E79" s="904"/>
      <c r="F79" s="904"/>
      <c r="G79" s="904"/>
      <c r="H79" s="888"/>
      <c r="I79" s="888"/>
      <c r="J79" s="888"/>
      <c r="K79" s="888"/>
      <c r="L79" s="905"/>
      <c r="M79" s="905"/>
      <c r="N79" s="904"/>
      <c r="O79" s="904"/>
      <c r="P79" s="903"/>
      <c r="Q79" s="879"/>
    </row>
    <row r="80" spans="1:18">
      <c r="A80" s="1319">
        <f t="shared" si="13"/>
        <v>76</v>
      </c>
      <c r="B80" s="908"/>
      <c r="C80" s="906"/>
      <c r="D80" s="904"/>
      <c r="E80" s="904"/>
      <c r="F80" s="904"/>
      <c r="G80" s="904"/>
      <c r="H80" s="888"/>
      <c r="I80" s="888"/>
      <c r="J80" s="888"/>
      <c r="K80" s="888"/>
      <c r="L80" s="905" t="s">
        <v>261</v>
      </c>
      <c r="M80" s="905"/>
      <c r="N80" s="904"/>
      <c r="O80" s="904"/>
      <c r="P80" s="903"/>
      <c r="Q80" s="879"/>
    </row>
    <row r="81" spans="1:17">
      <c r="A81" s="1319">
        <f t="shared" si="13"/>
        <v>77</v>
      </c>
      <c r="B81" s="907"/>
      <c r="C81" s="906"/>
      <c r="D81" s="904"/>
      <c r="E81" s="904"/>
      <c r="F81" s="904"/>
      <c r="G81" s="904"/>
      <c r="H81" s="888"/>
      <c r="I81" s="888"/>
      <c r="J81" s="888"/>
      <c r="K81" s="888"/>
      <c r="L81" s="905"/>
      <c r="M81" s="905"/>
      <c r="N81" s="904"/>
      <c r="O81" s="904"/>
      <c r="P81" s="903"/>
      <c r="Q81" s="879"/>
    </row>
    <row r="82" spans="1:17">
      <c r="A82" s="1319">
        <f t="shared" si="13"/>
        <v>78</v>
      </c>
      <c r="B82" s="889" t="s">
        <v>156</v>
      </c>
      <c r="C82" s="888"/>
      <c r="D82" s="958">
        <f>+D48</f>
        <v>1</v>
      </c>
      <c r="E82" s="888"/>
      <c r="F82" s="892">
        <f>L11/12</f>
        <v>0</v>
      </c>
      <c r="G82" s="892"/>
      <c r="H82" s="893">
        <f>+H48</f>
        <v>0</v>
      </c>
      <c r="I82" s="893"/>
      <c r="J82" s="901">
        <v>12</v>
      </c>
      <c r="K82" s="888"/>
      <c r="L82" s="892">
        <f t="shared" ref="L82:L93" si="14">H82*F82*J82*-1</f>
        <v>0</v>
      </c>
      <c r="M82" s="892"/>
      <c r="N82" s="892"/>
      <c r="O82" s="892"/>
      <c r="P82" s="891">
        <f t="shared" ref="P82:P93" si="15">(-L82+F82)*-1</f>
        <v>0</v>
      </c>
      <c r="Q82" s="879"/>
    </row>
    <row r="83" spans="1:17">
      <c r="A83" s="1319">
        <f t="shared" si="13"/>
        <v>79</v>
      </c>
      <c r="B83" s="889" t="s">
        <v>155</v>
      </c>
      <c r="C83" s="888"/>
      <c r="D83" s="958">
        <f>+D82</f>
        <v>1</v>
      </c>
      <c r="E83" s="888"/>
      <c r="F83" s="892">
        <f t="shared" ref="F83:F93" si="16">+F82</f>
        <v>0</v>
      </c>
      <c r="G83" s="892"/>
      <c r="H83" s="893">
        <f t="shared" ref="H83:H93" si="17">+H82</f>
        <v>0</v>
      </c>
      <c r="I83" s="893"/>
      <c r="J83" s="902">
        <f t="shared" ref="J83:J93" si="18">+J82-1</f>
        <v>11</v>
      </c>
      <c r="K83" s="886"/>
      <c r="L83" s="892">
        <f t="shared" si="14"/>
        <v>0</v>
      </c>
      <c r="M83" s="892"/>
      <c r="N83" s="892"/>
      <c r="O83" s="892"/>
      <c r="P83" s="891">
        <f t="shared" si="15"/>
        <v>0</v>
      </c>
      <c r="Q83" s="879"/>
    </row>
    <row r="84" spans="1:17">
      <c r="A84" s="1319">
        <f t="shared" si="13"/>
        <v>80</v>
      </c>
      <c r="B84" s="889" t="s">
        <v>154</v>
      </c>
      <c r="C84" s="888"/>
      <c r="D84" s="958">
        <f t="shared" ref="D84:D93" si="19">+D83</f>
        <v>1</v>
      </c>
      <c r="E84" s="888"/>
      <c r="F84" s="892">
        <f t="shared" si="16"/>
        <v>0</v>
      </c>
      <c r="G84" s="892"/>
      <c r="H84" s="893">
        <f t="shared" si="17"/>
        <v>0</v>
      </c>
      <c r="I84" s="893"/>
      <c r="J84" s="902">
        <f t="shared" si="18"/>
        <v>10</v>
      </c>
      <c r="K84" s="886"/>
      <c r="L84" s="892">
        <f t="shared" si="14"/>
        <v>0</v>
      </c>
      <c r="M84" s="892"/>
      <c r="N84" s="892"/>
      <c r="O84" s="892"/>
      <c r="P84" s="891">
        <f t="shared" si="15"/>
        <v>0</v>
      </c>
      <c r="Q84" s="879"/>
    </row>
    <row r="85" spans="1:17">
      <c r="A85" s="1319">
        <f t="shared" si="13"/>
        <v>81</v>
      </c>
      <c r="B85" s="889" t="s">
        <v>134</v>
      </c>
      <c r="C85" s="888"/>
      <c r="D85" s="958">
        <f t="shared" si="19"/>
        <v>1</v>
      </c>
      <c r="E85" s="888"/>
      <c r="F85" s="892">
        <f t="shared" si="16"/>
        <v>0</v>
      </c>
      <c r="G85" s="892"/>
      <c r="H85" s="893">
        <f t="shared" si="17"/>
        <v>0</v>
      </c>
      <c r="I85" s="893"/>
      <c r="J85" s="902">
        <f t="shared" si="18"/>
        <v>9</v>
      </c>
      <c r="K85" s="886"/>
      <c r="L85" s="892">
        <f t="shared" si="14"/>
        <v>0</v>
      </c>
      <c r="M85" s="892"/>
      <c r="N85" s="892"/>
      <c r="O85" s="892"/>
      <c r="P85" s="891">
        <f t="shared" si="15"/>
        <v>0</v>
      </c>
      <c r="Q85" s="879"/>
    </row>
    <row r="86" spans="1:17">
      <c r="A86" s="1319">
        <f t="shared" si="13"/>
        <v>82</v>
      </c>
      <c r="B86" s="889" t="s">
        <v>131</v>
      </c>
      <c r="C86" s="888"/>
      <c r="D86" s="958">
        <f t="shared" si="19"/>
        <v>1</v>
      </c>
      <c r="E86" s="888"/>
      <c r="F86" s="892">
        <f t="shared" si="16"/>
        <v>0</v>
      </c>
      <c r="G86" s="892"/>
      <c r="H86" s="893">
        <f t="shared" si="17"/>
        <v>0</v>
      </c>
      <c r="I86" s="893"/>
      <c r="J86" s="902">
        <f t="shared" si="18"/>
        <v>8</v>
      </c>
      <c r="K86" s="886"/>
      <c r="L86" s="892">
        <f t="shared" si="14"/>
        <v>0</v>
      </c>
      <c r="M86" s="892"/>
      <c r="N86" s="892"/>
      <c r="O86" s="892"/>
      <c r="P86" s="891">
        <f t="shared" si="15"/>
        <v>0</v>
      </c>
      <c r="Q86" s="879"/>
    </row>
    <row r="87" spans="1:17">
      <c r="A87" s="1319">
        <f t="shared" si="13"/>
        <v>83</v>
      </c>
      <c r="B87" s="889" t="s">
        <v>262</v>
      </c>
      <c r="C87" s="888"/>
      <c r="D87" s="958">
        <f t="shared" si="19"/>
        <v>1</v>
      </c>
      <c r="E87" s="888"/>
      <c r="F87" s="892">
        <f t="shared" si="16"/>
        <v>0</v>
      </c>
      <c r="G87" s="892"/>
      <c r="H87" s="893">
        <f t="shared" si="17"/>
        <v>0</v>
      </c>
      <c r="I87" s="893"/>
      <c r="J87" s="902">
        <f t="shared" si="18"/>
        <v>7</v>
      </c>
      <c r="K87" s="886"/>
      <c r="L87" s="892">
        <f t="shared" si="14"/>
        <v>0</v>
      </c>
      <c r="M87" s="892"/>
      <c r="N87" s="892"/>
      <c r="O87" s="892"/>
      <c r="P87" s="891">
        <f t="shared" si="15"/>
        <v>0</v>
      </c>
      <c r="Q87" s="879"/>
    </row>
    <row r="88" spans="1:17">
      <c r="A88" s="1319">
        <f t="shared" si="13"/>
        <v>84</v>
      </c>
      <c r="B88" s="889" t="s">
        <v>152</v>
      </c>
      <c r="C88" s="888"/>
      <c r="D88" s="958">
        <f t="shared" si="19"/>
        <v>1</v>
      </c>
      <c r="E88" s="888"/>
      <c r="F88" s="892">
        <f t="shared" si="16"/>
        <v>0</v>
      </c>
      <c r="G88" s="892"/>
      <c r="H88" s="893">
        <f t="shared" si="17"/>
        <v>0</v>
      </c>
      <c r="I88" s="893"/>
      <c r="J88" s="902">
        <f t="shared" si="18"/>
        <v>6</v>
      </c>
      <c r="K88" s="886"/>
      <c r="L88" s="892">
        <f t="shared" si="14"/>
        <v>0</v>
      </c>
      <c r="M88" s="892"/>
      <c r="N88" s="892"/>
      <c r="O88" s="892"/>
      <c r="P88" s="891">
        <f t="shared" si="15"/>
        <v>0</v>
      </c>
      <c r="Q88" s="879"/>
    </row>
    <row r="89" spans="1:17">
      <c r="A89" s="1319">
        <f t="shared" si="13"/>
        <v>85</v>
      </c>
      <c r="B89" s="889" t="s">
        <v>151</v>
      </c>
      <c r="C89" s="888"/>
      <c r="D89" s="958">
        <f t="shared" si="19"/>
        <v>1</v>
      </c>
      <c r="E89" s="888"/>
      <c r="F89" s="892">
        <f t="shared" si="16"/>
        <v>0</v>
      </c>
      <c r="G89" s="892"/>
      <c r="H89" s="893">
        <f t="shared" si="17"/>
        <v>0</v>
      </c>
      <c r="I89" s="893"/>
      <c r="J89" s="902">
        <f t="shared" si="18"/>
        <v>5</v>
      </c>
      <c r="K89" s="886"/>
      <c r="L89" s="892">
        <f t="shared" si="14"/>
        <v>0</v>
      </c>
      <c r="M89" s="892"/>
      <c r="N89" s="892"/>
      <c r="O89" s="892"/>
      <c r="P89" s="891">
        <f t="shared" si="15"/>
        <v>0</v>
      </c>
      <c r="Q89" s="879"/>
    </row>
    <row r="90" spans="1:17">
      <c r="A90" s="1319">
        <f t="shared" si="13"/>
        <v>86</v>
      </c>
      <c r="B90" s="889" t="s">
        <v>150</v>
      </c>
      <c r="C90" s="888"/>
      <c r="D90" s="958">
        <f t="shared" si="19"/>
        <v>1</v>
      </c>
      <c r="E90" s="888"/>
      <c r="F90" s="892">
        <f t="shared" si="16"/>
        <v>0</v>
      </c>
      <c r="G90" s="892"/>
      <c r="H90" s="893">
        <f t="shared" si="17"/>
        <v>0</v>
      </c>
      <c r="I90" s="893"/>
      <c r="J90" s="902">
        <f t="shared" si="18"/>
        <v>4</v>
      </c>
      <c r="K90" s="886"/>
      <c r="L90" s="892">
        <f t="shared" si="14"/>
        <v>0</v>
      </c>
      <c r="M90" s="892"/>
      <c r="N90" s="892"/>
      <c r="O90" s="892"/>
      <c r="P90" s="891">
        <f t="shared" si="15"/>
        <v>0</v>
      </c>
      <c r="Q90" s="879"/>
    </row>
    <row r="91" spans="1:17">
      <c r="A91" s="1319">
        <f t="shared" si="13"/>
        <v>87</v>
      </c>
      <c r="B91" s="889" t="s">
        <v>161</v>
      </c>
      <c r="C91" s="888"/>
      <c r="D91" s="958">
        <f t="shared" si="19"/>
        <v>1</v>
      </c>
      <c r="E91" s="888"/>
      <c r="F91" s="892">
        <f t="shared" si="16"/>
        <v>0</v>
      </c>
      <c r="G91" s="892"/>
      <c r="H91" s="893">
        <f t="shared" si="17"/>
        <v>0</v>
      </c>
      <c r="I91" s="893"/>
      <c r="J91" s="902">
        <f t="shared" si="18"/>
        <v>3</v>
      </c>
      <c r="K91" s="886"/>
      <c r="L91" s="892">
        <f t="shared" si="14"/>
        <v>0</v>
      </c>
      <c r="M91" s="892"/>
      <c r="N91" s="892"/>
      <c r="O91" s="892"/>
      <c r="P91" s="891">
        <f t="shared" si="15"/>
        <v>0</v>
      </c>
      <c r="Q91" s="879"/>
    </row>
    <row r="92" spans="1:17">
      <c r="A92" s="1319">
        <f t="shared" si="13"/>
        <v>88</v>
      </c>
      <c r="B92" s="889" t="s">
        <v>148</v>
      </c>
      <c r="C92" s="888"/>
      <c r="D92" s="958">
        <f t="shared" si="19"/>
        <v>1</v>
      </c>
      <c r="E92" s="888"/>
      <c r="F92" s="892">
        <f t="shared" si="16"/>
        <v>0</v>
      </c>
      <c r="G92" s="892"/>
      <c r="H92" s="893">
        <f t="shared" si="17"/>
        <v>0</v>
      </c>
      <c r="I92" s="893"/>
      <c r="J92" s="902">
        <f t="shared" si="18"/>
        <v>2</v>
      </c>
      <c r="K92" s="886"/>
      <c r="L92" s="892">
        <f t="shared" si="14"/>
        <v>0</v>
      </c>
      <c r="M92" s="892"/>
      <c r="N92" s="892"/>
      <c r="O92" s="892"/>
      <c r="P92" s="891">
        <f t="shared" si="15"/>
        <v>0</v>
      </c>
      <c r="Q92" s="879"/>
    </row>
    <row r="93" spans="1:17">
      <c r="A93" s="1319">
        <f t="shared" si="13"/>
        <v>89</v>
      </c>
      <c r="B93" s="889" t="s">
        <v>146</v>
      </c>
      <c r="C93" s="888"/>
      <c r="D93" s="958">
        <f t="shared" si="19"/>
        <v>1</v>
      </c>
      <c r="E93" s="888"/>
      <c r="F93" s="892">
        <f t="shared" si="16"/>
        <v>0</v>
      </c>
      <c r="G93" s="892"/>
      <c r="H93" s="893">
        <f t="shared" si="17"/>
        <v>0</v>
      </c>
      <c r="I93" s="893"/>
      <c r="J93" s="902">
        <f t="shared" si="18"/>
        <v>1</v>
      </c>
      <c r="K93" s="886"/>
      <c r="L93" s="895">
        <f t="shared" si="14"/>
        <v>0</v>
      </c>
      <c r="M93" s="892"/>
      <c r="N93" s="892"/>
      <c r="O93" s="892"/>
      <c r="P93" s="891">
        <f t="shared" si="15"/>
        <v>0</v>
      </c>
      <c r="Q93" s="879"/>
    </row>
    <row r="94" spans="1:17">
      <c r="A94" s="1319">
        <f t="shared" si="13"/>
        <v>90</v>
      </c>
      <c r="B94" s="889"/>
      <c r="C94" s="888"/>
      <c r="D94" s="888"/>
      <c r="E94" s="888"/>
      <c r="F94" s="892"/>
      <c r="G94" s="892"/>
      <c r="H94" s="893"/>
      <c r="I94" s="893"/>
      <c r="J94" s="886"/>
      <c r="K94" s="886"/>
      <c r="L94" s="892">
        <f>SUM(L82:L93)</f>
        <v>0</v>
      </c>
      <c r="M94" s="892"/>
      <c r="N94" s="892"/>
      <c r="O94" s="892"/>
      <c r="P94" s="900">
        <f>SUM(P82:P93)</f>
        <v>0</v>
      </c>
      <c r="Q94" s="879"/>
    </row>
    <row r="95" spans="1:17">
      <c r="A95" s="1319">
        <f t="shared" si="13"/>
        <v>91</v>
      </c>
      <c r="B95" s="889"/>
      <c r="C95" s="888"/>
      <c r="D95" s="888"/>
      <c r="E95" s="888"/>
      <c r="F95" s="892"/>
      <c r="G95" s="892"/>
      <c r="H95" s="893"/>
      <c r="I95" s="893"/>
      <c r="J95" s="886"/>
      <c r="K95" s="886"/>
      <c r="L95" s="892"/>
      <c r="M95" s="892"/>
      <c r="N95" s="892"/>
      <c r="O95" s="892"/>
      <c r="P95" s="900"/>
      <c r="Q95" s="879"/>
    </row>
    <row r="96" spans="1:17">
      <c r="A96" s="1319">
        <f t="shared" si="13"/>
        <v>92</v>
      </c>
      <c r="B96" s="889"/>
      <c r="C96" s="888"/>
      <c r="D96" s="888"/>
      <c r="E96" s="888"/>
      <c r="F96" s="892"/>
      <c r="G96" s="892"/>
      <c r="H96" s="893"/>
      <c r="I96" s="893"/>
      <c r="J96" s="886"/>
      <c r="K96" s="886"/>
      <c r="L96" s="897" t="s">
        <v>263</v>
      </c>
      <c r="M96" s="892"/>
      <c r="N96" s="892"/>
      <c r="O96" s="892"/>
      <c r="P96" s="900"/>
      <c r="Q96" s="879"/>
    </row>
    <row r="97" spans="1:17">
      <c r="A97" s="1319">
        <f t="shared" si="13"/>
        <v>93</v>
      </c>
      <c r="B97" s="889"/>
      <c r="C97" s="888"/>
      <c r="D97" s="888"/>
      <c r="E97" s="888"/>
      <c r="F97" s="892"/>
      <c r="G97" s="892"/>
      <c r="H97" s="893"/>
      <c r="I97" s="893"/>
      <c r="J97" s="886"/>
      <c r="K97" s="886"/>
      <c r="L97" s="897"/>
      <c r="M97" s="892"/>
      <c r="N97" s="892"/>
      <c r="O97" s="892"/>
      <c r="P97" s="900"/>
      <c r="Q97" s="879"/>
    </row>
    <row r="98" spans="1:17">
      <c r="A98" s="1319">
        <f t="shared" si="13"/>
        <v>94</v>
      </c>
      <c r="B98" s="889" t="s">
        <v>264</v>
      </c>
      <c r="C98" s="888"/>
      <c r="D98" s="959">
        <f>+D93+1</f>
        <v>2</v>
      </c>
      <c r="E98" s="888"/>
      <c r="F98" s="894">
        <f>P94</f>
        <v>0</v>
      </c>
      <c r="G98" s="894"/>
      <c r="H98" s="893">
        <f>+H50</f>
        <v>0</v>
      </c>
      <c r="I98" s="893"/>
      <c r="J98" s="901">
        <v>12</v>
      </c>
      <c r="K98" s="888"/>
      <c r="L98" s="892">
        <f>+J98*H98*F98</f>
        <v>0</v>
      </c>
      <c r="M98" s="892"/>
      <c r="N98" s="892"/>
      <c r="O98" s="892"/>
      <c r="P98" s="900">
        <f>+F98+L98</f>
        <v>0</v>
      </c>
      <c r="Q98" s="879"/>
    </row>
    <row r="99" spans="1:17">
      <c r="A99" s="1319">
        <f t="shared" si="13"/>
        <v>95</v>
      </c>
      <c r="B99" s="889" t="s">
        <v>264</v>
      </c>
      <c r="C99" s="888"/>
      <c r="D99" s="959">
        <f>+D98+1</f>
        <v>3</v>
      </c>
      <c r="E99" s="888"/>
      <c r="F99" s="894">
        <f>P98</f>
        <v>0</v>
      </c>
      <c r="G99" s="894"/>
      <c r="H99" s="893">
        <f>+H98</f>
        <v>0</v>
      </c>
      <c r="I99" s="893"/>
      <c r="J99" s="901">
        <v>12</v>
      </c>
      <c r="K99" s="888"/>
      <c r="L99" s="892">
        <f>+J99*H99*F99</f>
        <v>0</v>
      </c>
      <c r="M99" s="892"/>
      <c r="N99" s="892"/>
      <c r="O99" s="892"/>
      <c r="P99" s="900">
        <f>+F99+L99</f>
        <v>0</v>
      </c>
      <c r="Q99" s="879"/>
    </row>
    <row r="100" spans="1:17">
      <c r="A100" s="1319">
        <f t="shared" si="13"/>
        <v>96</v>
      </c>
      <c r="B100" s="889"/>
      <c r="C100" s="888"/>
      <c r="D100" s="959"/>
      <c r="E100" s="888"/>
      <c r="F100" s="894"/>
      <c r="G100" s="894"/>
      <c r="H100" s="893"/>
      <c r="I100" s="893"/>
      <c r="J100" s="901"/>
      <c r="K100" s="888"/>
      <c r="L100" s="892"/>
      <c r="M100" s="892"/>
      <c r="N100" s="892"/>
      <c r="O100" s="892"/>
      <c r="P100" s="900"/>
      <c r="Q100" s="879"/>
    </row>
    <row r="101" spans="1:17">
      <c r="A101" s="1319">
        <f t="shared" si="13"/>
        <v>97</v>
      </c>
      <c r="B101" s="889"/>
      <c r="C101" s="888"/>
      <c r="D101" s="959"/>
      <c r="E101" s="888"/>
      <c r="F101" s="894"/>
      <c r="G101" s="894"/>
      <c r="H101" s="893"/>
      <c r="I101" s="893"/>
      <c r="J101" s="901"/>
      <c r="K101" s="888"/>
      <c r="L101" s="892"/>
      <c r="M101" s="892"/>
      <c r="N101" s="892"/>
      <c r="O101" s="892"/>
      <c r="P101" s="900"/>
      <c r="Q101" s="879"/>
    </row>
    <row r="102" spans="1:17">
      <c r="A102" s="1319">
        <f t="shared" si="13"/>
        <v>98</v>
      </c>
      <c r="B102" s="889"/>
      <c r="C102" s="888"/>
      <c r="D102" s="959"/>
      <c r="E102" s="888"/>
      <c r="F102" s="894"/>
      <c r="G102" s="894"/>
      <c r="H102" s="893"/>
      <c r="I102" s="893"/>
      <c r="J102" s="888"/>
      <c r="K102" s="888"/>
      <c r="L102" s="892"/>
      <c r="M102" s="892"/>
      <c r="N102" s="892"/>
      <c r="O102" s="892"/>
      <c r="P102" s="900"/>
      <c r="Q102" s="879"/>
    </row>
    <row r="103" spans="1:17">
      <c r="A103" s="1319">
        <f t="shared" si="13"/>
        <v>99</v>
      </c>
      <c r="B103" s="889"/>
      <c r="C103" s="888"/>
      <c r="D103" s="888"/>
      <c r="E103" s="888"/>
      <c r="F103" s="894"/>
      <c r="G103" s="894"/>
      <c r="H103" s="893"/>
      <c r="I103" s="893"/>
      <c r="J103" s="888"/>
      <c r="K103" s="888"/>
      <c r="L103" s="892"/>
      <c r="M103" s="892"/>
      <c r="N103" s="892"/>
      <c r="O103" s="892"/>
      <c r="P103" s="891"/>
      <c r="Q103" s="879"/>
    </row>
    <row r="104" spans="1:17">
      <c r="A104" s="1319">
        <f t="shared" si="13"/>
        <v>100</v>
      </c>
      <c r="B104" s="899" t="s">
        <v>265</v>
      </c>
      <c r="C104" s="898"/>
      <c r="D104" s="888"/>
      <c r="E104" s="888"/>
      <c r="F104" s="892"/>
      <c r="G104" s="892"/>
      <c r="H104" s="893"/>
      <c r="I104" s="893"/>
      <c r="J104" s="888"/>
      <c r="K104" s="888"/>
      <c r="L104" s="897" t="s">
        <v>261</v>
      </c>
      <c r="M104" s="897"/>
      <c r="N104" s="892"/>
      <c r="O104" s="892"/>
      <c r="P104" s="891"/>
      <c r="Q104" s="879"/>
    </row>
    <row r="105" spans="1:17">
      <c r="A105" s="1319">
        <f t="shared" si="13"/>
        <v>101</v>
      </c>
      <c r="B105" s="889" t="s">
        <v>156</v>
      </c>
      <c r="C105" s="888"/>
      <c r="D105" s="958">
        <f>+D99+1</f>
        <v>4</v>
      </c>
      <c r="E105" s="888"/>
      <c r="F105" s="896">
        <f>+P99</f>
        <v>0</v>
      </c>
      <c r="G105" s="894"/>
      <c r="H105" s="893">
        <f>+H99</f>
        <v>0</v>
      </c>
      <c r="I105" s="893"/>
      <c r="J105" s="888"/>
      <c r="K105" s="888"/>
      <c r="L105" s="892">
        <f t="shared" ref="L105:L116" si="20" xml:space="preserve"> -H105*F105</f>
        <v>0</v>
      </c>
      <c r="M105" s="892"/>
      <c r="N105" s="892">
        <f>-PMT(H105,12,P99)</f>
        <v>0</v>
      </c>
      <c r="O105" s="892"/>
      <c r="P105" s="891">
        <f t="shared" ref="P105:P116" si="21">(+F105+F105*H105+N105)*-1</f>
        <v>0</v>
      </c>
      <c r="Q105" s="879"/>
    </row>
    <row r="106" spans="1:17">
      <c r="A106" s="1319">
        <f t="shared" si="13"/>
        <v>102</v>
      </c>
      <c r="B106" s="889" t="s">
        <v>155</v>
      </c>
      <c r="C106" s="888"/>
      <c r="D106" s="958">
        <f>+D105</f>
        <v>4</v>
      </c>
      <c r="E106" s="888"/>
      <c r="F106" s="894">
        <f t="shared" ref="F106:F116" si="22">-P105</f>
        <v>0</v>
      </c>
      <c r="G106" s="894"/>
      <c r="H106" s="893">
        <f t="shared" ref="H106:H116" si="23">+H105</f>
        <v>0</v>
      </c>
      <c r="I106" s="893"/>
      <c r="J106" s="888"/>
      <c r="K106" s="888"/>
      <c r="L106" s="892">
        <f t="shared" si="20"/>
        <v>0</v>
      </c>
      <c r="M106" s="892"/>
      <c r="N106" s="892">
        <f t="shared" ref="N106:N116" si="24">N105</f>
        <v>0</v>
      </c>
      <c r="O106" s="892"/>
      <c r="P106" s="891">
        <f t="shared" si="21"/>
        <v>0</v>
      </c>
      <c r="Q106" s="879"/>
    </row>
    <row r="107" spans="1:17">
      <c r="A107" s="1319">
        <f t="shared" si="13"/>
        <v>103</v>
      </c>
      <c r="B107" s="889" t="s">
        <v>154</v>
      </c>
      <c r="C107" s="888"/>
      <c r="D107" s="958">
        <f t="shared" ref="D107:D116" si="25">+D106</f>
        <v>4</v>
      </c>
      <c r="E107" s="888"/>
      <c r="F107" s="894">
        <f t="shared" si="22"/>
        <v>0</v>
      </c>
      <c r="G107" s="894"/>
      <c r="H107" s="893">
        <f t="shared" si="23"/>
        <v>0</v>
      </c>
      <c r="I107" s="893"/>
      <c r="J107" s="888"/>
      <c r="K107" s="888"/>
      <c r="L107" s="892">
        <f t="shared" si="20"/>
        <v>0</v>
      </c>
      <c r="M107" s="892"/>
      <c r="N107" s="892">
        <f t="shared" si="24"/>
        <v>0</v>
      </c>
      <c r="O107" s="892"/>
      <c r="P107" s="891">
        <f t="shared" si="21"/>
        <v>0</v>
      </c>
      <c r="Q107" s="879"/>
    </row>
    <row r="108" spans="1:17">
      <c r="A108" s="1319">
        <f t="shared" si="13"/>
        <v>104</v>
      </c>
      <c r="B108" s="889" t="s">
        <v>134</v>
      </c>
      <c r="C108" s="888"/>
      <c r="D108" s="958">
        <f t="shared" si="25"/>
        <v>4</v>
      </c>
      <c r="E108" s="888"/>
      <c r="F108" s="894">
        <f t="shared" si="22"/>
        <v>0</v>
      </c>
      <c r="G108" s="894"/>
      <c r="H108" s="893">
        <f t="shared" si="23"/>
        <v>0</v>
      </c>
      <c r="I108" s="893"/>
      <c r="J108" s="888"/>
      <c r="K108" s="888"/>
      <c r="L108" s="892">
        <f t="shared" si="20"/>
        <v>0</v>
      </c>
      <c r="M108" s="892"/>
      <c r="N108" s="892">
        <f t="shared" si="24"/>
        <v>0</v>
      </c>
      <c r="O108" s="892"/>
      <c r="P108" s="891">
        <f t="shared" si="21"/>
        <v>0</v>
      </c>
      <c r="Q108" s="879"/>
    </row>
    <row r="109" spans="1:17">
      <c r="A109" s="1319">
        <f t="shared" si="13"/>
        <v>105</v>
      </c>
      <c r="B109" s="889" t="s">
        <v>131</v>
      </c>
      <c r="C109" s="888"/>
      <c r="D109" s="958">
        <f t="shared" si="25"/>
        <v>4</v>
      </c>
      <c r="E109" s="888"/>
      <c r="F109" s="894">
        <f t="shared" si="22"/>
        <v>0</v>
      </c>
      <c r="G109" s="894"/>
      <c r="H109" s="893">
        <f t="shared" si="23"/>
        <v>0</v>
      </c>
      <c r="I109" s="893"/>
      <c r="J109" s="888"/>
      <c r="K109" s="888"/>
      <c r="L109" s="892">
        <f t="shared" si="20"/>
        <v>0</v>
      </c>
      <c r="M109" s="892"/>
      <c r="N109" s="892">
        <f t="shared" si="24"/>
        <v>0</v>
      </c>
      <c r="O109" s="892"/>
      <c r="P109" s="891">
        <f t="shared" si="21"/>
        <v>0</v>
      </c>
      <c r="Q109" s="879"/>
    </row>
    <row r="110" spans="1:17">
      <c r="A110" s="1319">
        <f t="shared" si="13"/>
        <v>106</v>
      </c>
      <c r="B110" s="889" t="s">
        <v>262</v>
      </c>
      <c r="C110" s="888"/>
      <c r="D110" s="958">
        <f t="shared" si="25"/>
        <v>4</v>
      </c>
      <c r="E110" s="888"/>
      <c r="F110" s="894">
        <f t="shared" si="22"/>
        <v>0</v>
      </c>
      <c r="G110" s="894"/>
      <c r="H110" s="893">
        <f t="shared" si="23"/>
        <v>0</v>
      </c>
      <c r="I110" s="893"/>
      <c r="J110" s="888"/>
      <c r="K110" s="888"/>
      <c r="L110" s="892">
        <f t="shared" si="20"/>
        <v>0</v>
      </c>
      <c r="M110" s="892"/>
      <c r="N110" s="892">
        <f t="shared" si="24"/>
        <v>0</v>
      </c>
      <c r="O110" s="892"/>
      <c r="P110" s="891">
        <f t="shared" si="21"/>
        <v>0</v>
      </c>
      <c r="Q110" s="879"/>
    </row>
    <row r="111" spans="1:17">
      <c r="A111" s="1319">
        <f t="shared" si="13"/>
        <v>107</v>
      </c>
      <c r="B111" s="889" t="s">
        <v>152</v>
      </c>
      <c r="C111" s="888"/>
      <c r="D111" s="958">
        <f t="shared" si="25"/>
        <v>4</v>
      </c>
      <c r="E111" s="888"/>
      <c r="F111" s="894">
        <f t="shared" si="22"/>
        <v>0</v>
      </c>
      <c r="G111" s="894"/>
      <c r="H111" s="893">
        <f t="shared" si="23"/>
        <v>0</v>
      </c>
      <c r="I111" s="893"/>
      <c r="J111" s="888"/>
      <c r="K111" s="888"/>
      <c r="L111" s="892">
        <f t="shared" si="20"/>
        <v>0</v>
      </c>
      <c r="M111" s="892"/>
      <c r="N111" s="892">
        <f t="shared" si="24"/>
        <v>0</v>
      </c>
      <c r="O111" s="892"/>
      <c r="P111" s="891">
        <f t="shared" si="21"/>
        <v>0</v>
      </c>
      <c r="Q111" s="879"/>
    </row>
    <row r="112" spans="1:17">
      <c r="A112" s="1319">
        <f t="shared" si="13"/>
        <v>108</v>
      </c>
      <c r="B112" s="889" t="s">
        <v>151</v>
      </c>
      <c r="C112" s="888"/>
      <c r="D112" s="958">
        <f t="shared" si="25"/>
        <v>4</v>
      </c>
      <c r="E112" s="888"/>
      <c r="F112" s="894">
        <f t="shared" si="22"/>
        <v>0</v>
      </c>
      <c r="G112" s="894"/>
      <c r="H112" s="893">
        <f t="shared" si="23"/>
        <v>0</v>
      </c>
      <c r="I112" s="893"/>
      <c r="J112" s="888"/>
      <c r="K112" s="888"/>
      <c r="L112" s="892">
        <f t="shared" si="20"/>
        <v>0</v>
      </c>
      <c r="M112" s="892"/>
      <c r="N112" s="892">
        <f t="shared" si="24"/>
        <v>0</v>
      </c>
      <c r="O112" s="892"/>
      <c r="P112" s="891">
        <f t="shared" si="21"/>
        <v>0</v>
      </c>
      <c r="Q112" s="879"/>
    </row>
    <row r="113" spans="1:17">
      <c r="A113" s="1319">
        <f t="shared" si="13"/>
        <v>109</v>
      </c>
      <c r="B113" s="889" t="s">
        <v>150</v>
      </c>
      <c r="C113" s="888"/>
      <c r="D113" s="958">
        <f t="shared" si="25"/>
        <v>4</v>
      </c>
      <c r="E113" s="888"/>
      <c r="F113" s="894">
        <f t="shared" si="22"/>
        <v>0</v>
      </c>
      <c r="G113" s="894"/>
      <c r="H113" s="893">
        <f t="shared" si="23"/>
        <v>0</v>
      </c>
      <c r="I113" s="893"/>
      <c r="J113" s="888"/>
      <c r="K113" s="888"/>
      <c r="L113" s="892">
        <f t="shared" si="20"/>
        <v>0</v>
      </c>
      <c r="M113" s="892"/>
      <c r="N113" s="892">
        <f t="shared" si="24"/>
        <v>0</v>
      </c>
      <c r="O113" s="892"/>
      <c r="P113" s="891">
        <f t="shared" si="21"/>
        <v>0</v>
      </c>
      <c r="Q113" s="879"/>
    </row>
    <row r="114" spans="1:17">
      <c r="A114" s="1319">
        <f t="shared" si="13"/>
        <v>110</v>
      </c>
      <c r="B114" s="889" t="s">
        <v>161</v>
      </c>
      <c r="C114" s="888"/>
      <c r="D114" s="958">
        <f t="shared" si="25"/>
        <v>4</v>
      </c>
      <c r="E114" s="888"/>
      <c r="F114" s="894">
        <f t="shared" si="22"/>
        <v>0</v>
      </c>
      <c r="G114" s="894"/>
      <c r="H114" s="893">
        <f t="shared" si="23"/>
        <v>0</v>
      </c>
      <c r="I114" s="893"/>
      <c r="J114" s="888"/>
      <c r="K114" s="888"/>
      <c r="L114" s="892">
        <f t="shared" si="20"/>
        <v>0</v>
      </c>
      <c r="M114" s="892"/>
      <c r="N114" s="892">
        <f t="shared" si="24"/>
        <v>0</v>
      </c>
      <c r="O114" s="892"/>
      <c r="P114" s="891">
        <f t="shared" si="21"/>
        <v>0</v>
      </c>
      <c r="Q114" s="879"/>
    </row>
    <row r="115" spans="1:17">
      <c r="A115" s="1319">
        <f t="shared" si="13"/>
        <v>111</v>
      </c>
      <c r="B115" s="889" t="s">
        <v>148</v>
      </c>
      <c r="C115" s="888"/>
      <c r="D115" s="958">
        <f t="shared" si="25"/>
        <v>4</v>
      </c>
      <c r="E115" s="888"/>
      <c r="F115" s="894">
        <f t="shared" si="22"/>
        <v>0</v>
      </c>
      <c r="G115" s="894"/>
      <c r="H115" s="893">
        <f t="shared" si="23"/>
        <v>0</v>
      </c>
      <c r="I115" s="893"/>
      <c r="J115" s="888"/>
      <c r="K115" s="888"/>
      <c r="L115" s="892">
        <f t="shared" si="20"/>
        <v>0</v>
      </c>
      <c r="M115" s="892"/>
      <c r="N115" s="892">
        <f t="shared" si="24"/>
        <v>0</v>
      </c>
      <c r="O115" s="892"/>
      <c r="P115" s="891">
        <f t="shared" si="21"/>
        <v>0</v>
      </c>
      <c r="Q115" s="879"/>
    </row>
    <row r="116" spans="1:17">
      <c r="A116" s="1319">
        <f t="shared" si="13"/>
        <v>112</v>
      </c>
      <c r="B116" s="889" t="s">
        <v>146</v>
      </c>
      <c r="C116" s="888"/>
      <c r="D116" s="958">
        <f t="shared" si="25"/>
        <v>4</v>
      </c>
      <c r="E116" s="888"/>
      <c r="F116" s="894">
        <f t="shared" si="22"/>
        <v>0</v>
      </c>
      <c r="G116" s="894"/>
      <c r="H116" s="893">
        <f t="shared" si="23"/>
        <v>0</v>
      </c>
      <c r="I116" s="893"/>
      <c r="J116" s="888"/>
      <c r="K116" s="888"/>
      <c r="L116" s="895">
        <f t="shared" si="20"/>
        <v>0</v>
      </c>
      <c r="M116" s="892"/>
      <c r="N116" s="892">
        <f t="shared" si="24"/>
        <v>0</v>
      </c>
      <c r="O116" s="892"/>
      <c r="P116" s="891">
        <f t="shared" si="21"/>
        <v>0</v>
      </c>
      <c r="Q116" s="879"/>
    </row>
    <row r="117" spans="1:17">
      <c r="A117" s="1319">
        <f t="shared" si="13"/>
        <v>113</v>
      </c>
      <c r="B117" s="889"/>
      <c r="C117" s="888"/>
      <c r="D117" s="888"/>
      <c r="E117" s="888"/>
      <c r="F117" s="894"/>
      <c r="G117" s="894"/>
      <c r="H117" s="893"/>
      <c r="I117" s="893"/>
      <c r="J117" s="888"/>
      <c r="K117" s="888"/>
      <c r="L117" s="892">
        <f>SUM(L105:L116)</f>
        <v>0</v>
      </c>
      <c r="M117" s="892"/>
      <c r="N117" s="892"/>
      <c r="O117" s="892"/>
      <c r="P117" s="891"/>
      <c r="Q117" s="879"/>
    </row>
    <row r="118" spans="1:17">
      <c r="A118" s="1319">
        <f t="shared" si="13"/>
        <v>114</v>
      </c>
      <c r="B118" s="890"/>
      <c r="C118" s="886"/>
      <c r="D118" s="886"/>
      <c r="E118" s="886"/>
      <c r="F118" s="886"/>
      <c r="G118" s="886"/>
      <c r="H118" s="886"/>
      <c r="I118" s="886"/>
      <c r="J118" s="886"/>
      <c r="K118" s="886"/>
      <c r="L118" s="886"/>
      <c r="M118" s="886"/>
      <c r="N118" s="886"/>
      <c r="O118" s="886"/>
      <c r="P118" s="885"/>
      <c r="Q118" s="879"/>
    </row>
    <row r="119" spans="1:17">
      <c r="A119" s="1319">
        <f t="shared" si="13"/>
        <v>115</v>
      </c>
      <c r="B119" s="889" t="s">
        <v>584</v>
      </c>
      <c r="C119" s="888"/>
      <c r="D119" s="886"/>
      <c r="E119" s="886"/>
      <c r="F119" s="886"/>
      <c r="G119" s="886"/>
      <c r="H119" s="886"/>
      <c r="I119" s="886"/>
      <c r="J119" s="886"/>
      <c r="K119" s="886"/>
      <c r="L119" s="886"/>
      <c r="M119" s="886"/>
      <c r="N119" s="887">
        <f>SUM(N105:N116)</f>
        <v>0</v>
      </c>
      <c r="O119" s="886"/>
      <c r="P119" s="885"/>
      <c r="Q119" s="879"/>
    </row>
    <row r="120" spans="1:17">
      <c r="A120" s="1319">
        <f t="shared" si="13"/>
        <v>116</v>
      </c>
      <c r="B120" s="889" t="s">
        <v>266</v>
      </c>
      <c r="C120" s="888"/>
      <c r="D120" s="886"/>
      <c r="E120" s="886"/>
      <c r="F120" s="886"/>
      <c r="G120" s="886"/>
      <c r="H120" s="886"/>
      <c r="I120" s="886"/>
      <c r="J120" s="886"/>
      <c r="K120" s="886"/>
      <c r="L120" s="886"/>
      <c r="M120" s="886"/>
      <c r="N120" s="887">
        <f>L11</f>
        <v>0</v>
      </c>
      <c r="O120" s="886"/>
      <c r="P120" s="885"/>
      <c r="Q120" s="879"/>
    </row>
    <row r="121" spans="1:17">
      <c r="A121" s="1319">
        <f t="shared" si="13"/>
        <v>117</v>
      </c>
      <c r="B121" s="884" t="s">
        <v>267</v>
      </c>
      <c r="C121" s="883"/>
      <c r="D121" s="881"/>
      <c r="E121" s="881"/>
      <c r="F121" s="881"/>
      <c r="G121" s="881"/>
      <c r="H121" s="881"/>
      <c r="I121" s="881"/>
      <c r="J121" s="881"/>
      <c r="K121" s="881"/>
      <c r="L121" s="881"/>
      <c r="M121" s="881"/>
      <c r="N121" s="882">
        <f>(N119+N120)</f>
        <v>0</v>
      </c>
      <c r="O121" s="881"/>
      <c r="P121" s="880"/>
      <c r="Q121" s="879"/>
    </row>
    <row r="122" spans="1:17">
      <c r="A122" s="1319">
        <f t="shared" si="13"/>
        <v>118</v>
      </c>
      <c r="Q122" s="879"/>
    </row>
    <row r="123" spans="1:17">
      <c r="A123" s="1319">
        <f t="shared" si="13"/>
        <v>119</v>
      </c>
      <c r="Q123" s="879"/>
    </row>
    <row r="124" spans="1:17">
      <c r="A124" s="1319">
        <f t="shared" si="13"/>
        <v>120</v>
      </c>
      <c r="B124" s="914" t="s">
        <v>595</v>
      </c>
      <c r="C124" s="913"/>
      <c r="D124" s="910"/>
      <c r="E124" s="910"/>
      <c r="F124" s="910"/>
      <c r="G124" s="910"/>
      <c r="H124" s="912"/>
      <c r="I124" s="912"/>
      <c r="J124" s="912"/>
      <c r="K124" s="912"/>
      <c r="L124" s="911"/>
      <c r="M124" s="911"/>
      <c r="N124" s="910"/>
      <c r="O124" s="910"/>
      <c r="P124" s="909"/>
      <c r="Q124" s="879"/>
    </row>
    <row r="125" spans="1:17">
      <c r="A125" s="1319">
        <f t="shared" si="13"/>
        <v>121</v>
      </c>
      <c r="B125" s="908"/>
      <c r="C125" s="906"/>
      <c r="D125" s="904"/>
      <c r="E125" s="904"/>
      <c r="F125" s="904"/>
      <c r="G125" s="904"/>
      <c r="H125" s="888"/>
      <c r="I125" s="888"/>
      <c r="J125" s="888"/>
      <c r="K125" s="888"/>
      <c r="L125" s="905" t="s">
        <v>261</v>
      </c>
      <c r="M125" s="905"/>
      <c r="N125" s="904"/>
      <c r="O125" s="904"/>
      <c r="P125" s="903"/>
      <c r="Q125" s="879"/>
    </row>
    <row r="126" spans="1:17">
      <c r="A126" s="1319">
        <f t="shared" si="13"/>
        <v>122</v>
      </c>
      <c r="B126" s="907"/>
      <c r="C126" s="906"/>
      <c r="D126" s="904"/>
      <c r="E126" s="904"/>
      <c r="F126" s="904"/>
      <c r="G126" s="904"/>
      <c r="H126" s="888"/>
      <c r="I126" s="888"/>
      <c r="J126" s="888"/>
      <c r="K126" s="888"/>
      <c r="L126" s="905"/>
      <c r="M126" s="905"/>
      <c r="N126" s="904"/>
      <c r="O126" s="904"/>
      <c r="P126" s="903"/>
      <c r="Q126" s="879"/>
    </row>
    <row r="127" spans="1:17">
      <c r="A127" s="1319">
        <f t="shared" si="13"/>
        <v>123</v>
      </c>
      <c r="B127" s="889" t="s">
        <v>156</v>
      </c>
      <c r="C127" s="888"/>
      <c r="D127" s="958">
        <f>+D98</f>
        <v>2</v>
      </c>
      <c r="E127" s="888"/>
      <c r="F127" s="892">
        <f>L12/12</f>
        <v>0</v>
      </c>
      <c r="G127" s="892"/>
      <c r="H127" s="893">
        <f>N12</f>
        <v>0</v>
      </c>
      <c r="I127" s="893"/>
      <c r="J127" s="901">
        <v>12</v>
      </c>
      <c r="K127" s="888"/>
      <c r="L127" s="892">
        <f t="shared" ref="L127:L138" si="26">H127*F127*J127*-1</f>
        <v>0</v>
      </c>
      <c r="M127" s="892"/>
      <c r="N127" s="892"/>
      <c r="O127" s="892"/>
      <c r="P127" s="891">
        <f t="shared" ref="P127:P138" si="27">(-L127+F127)*-1</f>
        <v>0</v>
      </c>
      <c r="Q127" s="879"/>
    </row>
    <row r="128" spans="1:17">
      <c r="A128" s="1319">
        <f t="shared" si="13"/>
        <v>124</v>
      </c>
      <c r="B128" s="889" t="s">
        <v>155</v>
      </c>
      <c r="C128" s="888"/>
      <c r="D128" s="958">
        <f>+D127</f>
        <v>2</v>
      </c>
      <c r="E128" s="888"/>
      <c r="F128" s="892">
        <f t="shared" ref="F128:F138" si="28">+F127</f>
        <v>0</v>
      </c>
      <c r="G128" s="892"/>
      <c r="H128" s="893">
        <f t="shared" ref="H128:H138" si="29">+H127</f>
        <v>0</v>
      </c>
      <c r="I128" s="893"/>
      <c r="J128" s="902">
        <f t="shared" ref="J128:J138" si="30">+J127-1</f>
        <v>11</v>
      </c>
      <c r="K128" s="886"/>
      <c r="L128" s="892">
        <f t="shared" si="26"/>
        <v>0</v>
      </c>
      <c r="M128" s="892"/>
      <c r="N128" s="892"/>
      <c r="O128" s="892"/>
      <c r="P128" s="891">
        <f t="shared" si="27"/>
        <v>0</v>
      </c>
      <c r="Q128" s="879"/>
    </row>
    <row r="129" spans="1:17">
      <c r="A129" s="1319">
        <f t="shared" si="13"/>
        <v>125</v>
      </c>
      <c r="B129" s="889" t="s">
        <v>154</v>
      </c>
      <c r="C129" s="888"/>
      <c r="D129" s="958">
        <f t="shared" ref="D129:D138" si="31">+D128</f>
        <v>2</v>
      </c>
      <c r="E129" s="888"/>
      <c r="F129" s="892">
        <f t="shared" si="28"/>
        <v>0</v>
      </c>
      <c r="G129" s="892"/>
      <c r="H129" s="893">
        <f t="shared" si="29"/>
        <v>0</v>
      </c>
      <c r="I129" s="893"/>
      <c r="J129" s="902">
        <f t="shared" si="30"/>
        <v>10</v>
      </c>
      <c r="K129" s="886"/>
      <c r="L129" s="892">
        <f t="shared" si="26"/>
        <v>0</v>
      </c>
      <c r="M129" s="892"/>
      <c r="N129" s="892"/>
      <c r="O129" s="892"/>
      <c r="P129" s="891">
        <f t="shared" si="27"/>
        <v>0</v>
      </c>
      <c r="Q129" s="879"/>
    </row>
    <row r="130" spans="1:17">
      <c r="A130" s="1319">
        <f t="shared" si="13"/>
        <v>126</v>
      </c>
      <c r="B130" s="889" t="s">
        <v>134</v>
      </c>
      <c r="C130" s="888"/>
      <c r="D130" s="958">
        <f t="shared" si="31"/>
        <v>2</v>
      </c>
      <c r="E130" s="888"/>
      <c r="F130" s="892">
        <f t="shared" si="28"/>
        <v>0</v>
      </c>
      <c r="G130" s="892"/>
      <c r="H130" s="893">
        <f t="shared" si="29"/>
        <v>0</v>
      </c>
      <c r="I130" s="893"/>
      <c r="J130" s="902">
        <f t="shared" si="30"/>
        <v>9</v>
      </c>
      <c r="K130" s="886"/>
      <c r="L130" s="892">
        <f t="shared" si="26"/>
        <v>0</v>
      </c>
      <c r="M130" s="892"/>
      <c r="N130" s="892"/>
      <c r="O130" s="892"/>
      <c r="P130" s="891">
        <f t="shared" si="27"/>
        <v>0</v>
      </c>
      <c r="Q130" s="879"/>
    </row>
    <row r="131" spans="1:17">
      <c r="A131" s="1319">
        <f t="shared" si="13"/>
        <v>127</v>
      </c>
      <c r="B131" s="889" t="s">
        <v>131</v>
      </c>
      <c r="C131" s="888"/>
      <c r="D131" s="958">
        <f t="shared" si="31"/>
        <v>2</v>
      </c>
      <c r="E131" s="888"/>
      <c r="F131" s="892">
        <f t="shared" si="28"/>
        <v>0</v>
      </c>
      <c r="G131" s="892"/>
      <c r="H131" s="893">
        <f t="shared" si="29"/>
        <v>0</v>
      </c>
      <c r="I131" s="893"/>
      <c r="J131" s="902">
        <f t="shared" si="30"/>
        <v>8</v>
      </c>
      <c r="K131" s="886"/>
      <c r="L131" s="892">
        <f t="shared" si="26"/>
        <v>0</v>
      </c>
      <c r="M131" s="892"/>
      <c r="N131" s="892"/>
      <c r="O131" s="892"/>
      <c r="P131" s="891">
        <f t="shared" si="27"/>
        <v>0</v>
      </c>
      <c r="Q131" s="879"/>
    </row>
    <row r="132" spans="1:17">
      <c r="A132" s="1319">
        <f t="shared" si="13"/>
        <v>128</v>
      </c>
      <c r="B132" s="889" t="s">
        <v>262</v>
      </c>
      <c r="C132" s="888"/>
      <c r="D132" s="958">
        <f t="shared" si="31"/>
        <v>2</v>
      </c>
      <c r="E132" s="888"/>
      <c r="F132" s="892">
        <f t="shared" si="28"/>
        <v>0</v>
      </c>
      <c r="G132" s="892"/>
      <c r="H132" s="893">
        <f t="shared" si="29"/>
        <v>0</v>
      </c>
      <c r="I132" s="893"/>
      <c r="J132" s="902">
        <f t="shared" si="30"/>
        <v>7</v>
      </c>
      <c r="K132" s="886"/>
      <c r="L132" s="892">
        <f t="shared" si="26"/>
        <v>0</v>
      </c>
      <c r="M132" s="892"/>
      <c r="N132" s="892"/>
      <c r="O132" s="892"/>
      <c r="P132" s="891">
        <f t="shared" si="27"/>
        <v>0</v>
      </c>
      <c r="Q132" s="879"/>
    </row>
    <row r="133" spans="1:17">
      <c r="A133" s="1319">
        <f t="shared" si="13"/>
        <v>129</v>
      </c>
      <c r="B133" s="889" t="s">
        <v>152</v>
      </c>
      <c r="C133" s="888"/>
      <c r="D133" s="958">
        <f t="shared" si="31"/>
        <v>2</v>
      </c>
      <c r="E133" s="888"/>
      <c r="F133" s="892">
        <f t="shared" si="28"/>
        <v>0</v>
      </c>
      <c r="G133" s="892"/>
      <c r="H133" s="893">
        <f t="shared" si="29"/>
        <v>0</v>
      </c>
      <c r="I133" s="893"/>
      <c r="J133" s="902">
        <f t="shared" si="30"/>
        <v>6</v>
      </c>
      <c r="K133" s="886"/>
      <c r="L133" s="892">
        <f t="shared" si="26"/>
        <v>0</v>
      </c>
      <c r="M133" s="892"/>
      <c r="N133" s="892"/>
      <c r="O133" s="892"/>
      <c r="P133" s="891">
        <f t="shared" si="27"/>
        <v>0</v>
      </c>
      <c r="Q133" s="879"/>
    </row>
    <row r="134" spans="1:17">
      <c r="A134" s="1319">
        <f t="shared" si="13"/>
        <v>130</v>
      </c>
      <c r="B134" s="889" t="s">
        <v>151</v>
      </c>
      <c r="C134" s="888"/>
      <c r="D134" s="958">
        <f t="shared" si="31"/>
        <v>2</v>
      </c>
      <c r="E134" s="888"/>
      <c r="F134" s="892">
        <f t="shared" si="28"/>
        <v>0</v>
      </c>
      <c r="G134" s="892"/>
      <c r="H134" s="893">
        <f t="shared" si="29"/>
        <v>0</v>
      </c>
      <c r="I134" s="893"/>
      <c r="J134" s="902">
        <f t="shared" si="30"/>
        <v>5</v>
      </c>
      <c r="K134" s="886"/>
      <c r="L134" s="892">
        <f t="shared" si="26"/>
        <v>0</v>
      </c>
      <c r="M134" s="892"/>
      <c r="N134" s="892"/>
      <c r="O134" s="892"/>
      <c r="P134" s="891">
        <f t="shared" si="27"/>
        <v>0</v>
      </c>
      <c r="Q134" s="879"/>
    </row>
    <row r="135" spans="1:17">
      <c r="A135" s="1319">
        <f t="shared" ref="A135:A165" si="32">+A134+1</f>
        <v>131</v>
      </c>
      <c r="B135" s="889" t="s">
        <v>150</v>
      </c>
      <c r="C135" s="888"/>
      <c r="D135" s="958">
        <f t="shared" si="31"/>
        <v>2</v>
      </c>
      <c r="E135" s="888"/>
      <c r="F135" s="892">
        <f t="shared" si="28"/>
        <v>0</v>
      </c>
      <c r="G135" s="892"/>
      <c r="H135" s="893">
        <f t="shared" si="29"/>
        <v>0</v>
      </c>
      <c r="I135" s="893"/>
      <c r="J135" s="902">
        <f t="shared" si="30"/>
        <v>4</v>
      </c>
      <c r="K135" s="886"/>
      <c r="L135" s="892">
        <f t="shared" si="26"/>
        <v>0</v>
      </c>
      <c r="M135" s="892"/>
      <c r="N135" s="892"/>
      <c r="O135" s="892"/>
      <c r="P135" s="891">
        <f t="shared" si="27"/>
        <v>0</v>
      </c>
      <c r="Q135" s="879"/>
    </row>
    <row r="136" spans="1:17">
      <c r="A136" s="1319">
        <f t="shared" si="32"/>
        <v>132</v>
      </c>
      <c r="B136" s="889" t="s">
        <v>161</v>
      </c>
      <c r="C136" s="888"/>
      <c r="D136" s="958">
        <f t="shared" si="31"/>
        <v>2</v>
      </c>
      <c r="E136" s="888"/>
      <c r="F136" s="892">
        <f t="shared" si="28"/>
        <v>0</v>
      </c>
      <c r="G136" s="892"/>
      <c r="H136" s="893">
        <f t="shared" si="29"/>
        <v>0</v>
      </c>
      <c r="I136" s="893"/>
      <c r="J136" s="902">
        <f t="shared" si="30"/>
        <v>3</v>
      </c>
      <c r="K136" s="886"/>
      <c r="L136" s="892">
        <f t="shared" si="26"/>
        <v>0</v>
      </c>
      <c r="M136" s="892"/>
      <c r="N136" s="892"/>
      <c r="O136" s="892"/>
      <c r="P136" s="891">
        <f t="shared" si="27"/>
        <v>0</v>
      </c>
      <c r="Q136" s="879"/>
    </row>
    <row r="137" spans="1:17">
      <c r="A137" s="1319">
        <f t="shared" si="32"/>
        <v>133</v>
      </c>
      <c r="B137" s="889" t="s">
        <v>148</v>
      </c>
      <c r="C137" s="888"/>
      <c r="D137" s="958">
        <f t="shared" si="31"/>
        <v>2</v>
      </c>
      <c r="E137" s="888"/>
      <c r="F137" s="892">
        <f t="shared" si="28"/>
        <v>0</v>
      </c>
      <c r="G137" s="892"/>
      <c r="H137" s="893">
        <f t="shared" si="29"/>
        <v>0</v>
      </c>
      <c r="I137" s="893"/>
      <c r="J137" s="902">
        <f t="shared" si="30"/>
        <v>2</v>
      </c>
      <c r="K137" s="886"/>
      <c r="L137" s="892">
        <f t="shared" si="26"/>
        <v>0</v>
      </c>
      <c r="M137" s="892"/>
      <c r="N137" s="892"/>
      <c r="O137" s="892"/>
      <c r="P137" s="891">
        <f t="shared" si="27"/>
        <v>0</v>
      </c>
      <c r="Q137" s="879"/>
    </row>
    <row r="138" spans="1:17">
      <c r="A138" s="1319">
        <f t="shared" si="32"/>
        <v>134</v>
      </c>
      <c r="B138" s="889" t="s">
        <v>146</v>
      </c>
      <c r="C138" s="888"/>
      <c r="D138" s="958">
        <f t="shared" si="31"/>
        <v>2</v>
      </c>
      <c r="E138" s="888"/>
      <c r="F138" s="892">
        <f t="shared" si="28"/>
        <v>0</v>
      </c>
      <c r="G138" s="892"/>
      <c r="H138" s="893">
        <f t="shared" si="29"/>
        <v>0</v>
      </c>
      <c r="I138" s="893"/>
      <c r="J138" s="902">
        <f t="shared" si="30"/>
        <v>1</v>
      </c>
      <c r="K138" s="886"/>
      <c r="L138" s="895">
        <f t="shared" si="26"/>
        <v>0</v>
      </c>
      <c r="M138" s="892"/>
      <c r="N138" s="892"/>
      <c r="O138" s="892"/>
      <c r="P138" s="891">
        <f t="shared" si="27"/>
        <v>0</v>
      </c>
      <c r="Q138" s="879"/>
    </row>
    <row r="139" spans="1:17">
      <c r="A139" s="1319">
        <f t="shared" si="32"/>
        <v>135</v>
      </c>
      <c r="B139" s="889"/>
      <c r="C139" s="888"/>
      <c r="D139" s="888"/>
      <c r="E139" s="888"/>
      <c r="F139" s="892"/>
      <c r="G139" s="892"/>
      <c r="H139" s="893"/>
      <c r="I139" s="893"/>
      <c r="J139" s="886"/>
      <c r="K139" s="886"/>
      <c r="L139" s="892">
        <f>SUM(L127:L138)</f>
        <v>0</v>
      </c>
      <c r="M139" s="892"/>
      <c r="N139" s="892"/>
      <c r="O139" s="892"/>
      <c r="P139" s="900">
        <f>SUM(P127:P138)</f>
        <v>0</v>
      </c>
      <c r="Q139" s="879"/>
    </row>
    <row r="140" spans="1:17">
      <c r="A140" s="1319">
        <f t="shared" si="32"/>
        <v>136</v>
      </c>
      <c r="B140" s="889"/>
      <c r="C140" s="888"/>
      <c r="D140" s="888"/>
      <c r="E140" s="888"/>
      <c r="F140" s="892"/>
      <c r="G140" s="892"/>
      <c r="H140" s="893"/>
      <c r="I140" s="893"/>
      <c r="J140" s="886"/>
      <c r="K140" s="886"/>
      <c r="L140" s="892"/>
      <c r="M140" s="892"/>
      <c r="N140" s="892"/>
      <c r="O140" s="892"/>
      <c r="P140" s="900"/>
      <c r="Q140" s="879"/>
    </row>
    <row r="141" spans="1:17">
      <c r="A141" s="1319">
        <f t="shared" si="32"/>
        <v>137</v>
      </c>
      <c r="B141" s="889"/>
      <c r="C141" s="888"/>
      <c r="D141" s="888"/>
      <c r="E141" s="888"/>
      <c r="F141" s="892"/>
      <c r="G141" s="892"/>
      <c r="H141" s="893"/>
      <c r="I141" s="893"/>
      <c r="J141" s="886"/>
      <c r="K141" s="886"/>
      <c r="L141" s="897" t="s">
        <v>263</v>
      </c>
      <c r="M141" s="892"/>
      <c r="N141" s="892"/>
      <c r="O141" s="892"/>
      <c r="P141" s="900"/>
      <c r="Q141" s="879"/>
    </row>
    <row r="142" spans="1:17">
      <c r="A142" s="1319">
        <f t="shared" si="32"/>
        <v>138</v>
      </c>
      <c r="B142" s="889"/>
      <c r="C142" s="888"/>
      <c r="D142" s="888"/>
      <c r="E142" s="888"/>
      <c r="F142" s="892"/>
      <c r="G142" s="892"/>
      <c r="H142" s="893"/>
      <c r="I142" s="893"/>
      <c r="J142" s="886"/>
      <c r="K142" s="886"/>
      <c r="L142" s="897"/>
      <c r="M142" s="892"/>
      <c r="N142" s="892"/>
      <c r="O142" s="892"/>
      <c r="P142" s="900"/>
      <c r="Q142" s="879"/>
    </row>
    <row r="143" spans="1:17">
      <c r="A143" s="1319">
        <f t="shared" si="32"/>
        <v>139</v>
      </c>
      <c r="B143" s="889" t="s">
        <v>264</v>
      </c>
      <c r="C143" s="888"/>
      <c r="D143" s="959">
        <f>+D138+1</f>
        <v>3</v>
      </c>
      <c r="E143" s="888"/>
      <c r="F143" s="894">
        <f>P139</f>
        <v>0</v>
      </c>
      <c r="G143" s="894"/>
      <c r="H143" s="893">
        <f>+H138</f>
        <v>0</v>
      </c>
      <c r="I143" s="893"/>
      <c r="J143" s="901">
        <v>12</v>
      </c>
      <c r="K143" s="888"/>
      <c r="L143" s="892">
        <f>+J143*H143*F143</f>
        <v>0</v>
      </c>
      <c r="M143" s="892"/>
      <c r="N143" s="892"/>
      <c r="O143" s="892"/>
      <c r="P143" s="900">
        <f>+F143+L143</f>
        <v>0</v>
      </c>
      <c r="Q143" s="879"/>
    </row>
    <row r="144" spans="1:17">
      <c r="A144" s="1319">
        <f t="shared" si="32"/>
        <v>140</v>
      </c>
      <c r="B144" s="889"/>
      <c r="C144" s="888"/>
      <c r="D144" s="959"/>
      <c r="E144" s="888"/>
      <c r="F144" s="894"/>
      <c r="G144" s="894"/>
      <c r="H144" s="893"/>
      <c r="I144" s="893"/>
      <c r="J144" s="901"/>
      <c r="K144" s="888"/>
      <c r="L144" s="892"/>
      <c r="M144" s="892"/>
      <c r="N144" s="892"/>
      <c r="O144" s="892"/>
      <c r="P144" s="900"/>
      <c r="Q144" s="879"/>
    </row>
    <row r="145" spans="1:17">
      <c r="A145" s="1319">
        <f t="shared" si="32"/>
        <v>141</v>
      </c>
      <c r="B145" s="889"/>
      <c r="C145" s="888"/>
      <c r="D145" s="959"/>
      <c r="E145" s="888"/>
      <c r="F145" s="894"/>
      <c r="G145" s="894"/>
      <c r="H145" s="893"/>
      <c r="I145" s="893"/>
      <c r="J145" s="901"/>
      <c r="K145" s="888"/>
      <c r="L145" s="892"/>
      <c r="M145" s="892"/>
      <c r="N145" s="892"/>
      <c r="O145" s="892"/>
      <c r="P145" s="900"/>
      <c r="Q145" s="879"/>
    </row>
    <row r="146" spans="1:17">
      <c r="A146" s="1319">
        <f t="shared" si="32"/>
        <v>142</v>
      </c>
      <c r="B146" s="889"/>
      <c r="C146" s="888"/>
      <c r="D146" s="959"/>
      <c r="E146" s="888"/>
      <c r="F146" s="894"/>
      <c r="G146" s="894"/>
      <c r="H146" s="893"/>
      <c r="I146" s="893"/>
      <c r="J146" s="888"/>
      <c r="K146" s="888"/>
      <c r="L146" s="892"/>
      <c r="M146" s="892"/>
      <c r="N146" s="892"/>
      <c r="O146" s="892"/>
      <c r="P146" s="900"/>
      <c r="Q146" s="879"/>
    </row>
    <row r="147" spans="1:17">
      <c r="A147" s="1319">
        <f t="shared" si="32"/>
        <v>143</v>
      </c>
      <c r="B147" s="889"/>
      <c r="C147" s="888"/>
      <c r="D147" s="959"/>
      <c r="E147" s="888"/>
      <c r="F147" s="894"/>
      <c r="G147" s="894"/>
      <c r="H147" s="893"/>
      <c r="I147" s="893"/>
      <c r="J147" s="888"/>
      <c r="K147" s="888"/>
      <c r="L147" s="892"/>
      <c r="M147" s="892"/>
      <c r="N147" s="892"/>
      <c r="O147" s="892"/>
      <c r="P147" s="891"/>
      <c r="Q147" s="879"/>
    </row>
    <row r="148" spans="1:17">
      <c r="A148" s="1319">
        <f t="shared" si="32"/>
        <v>144</v>
      </c>
      <c r="B148" s="899" t="s">
        <v>265</v>
      </c>
      <c r="C148" s="898"/>
      <c r="D148" s="888"/>
      <c r="E148" s="888"/>
      <c r="F148" s="892"/>
      <c r="G148" s="892"/>
      <c r="H148" s="893"/>
      <c r="I148" s="893"/>
      <c r="J148" s="888"/>
      <c r="K148" s="888"/>
      <c r="L148" s="897" t="s">
        <v>261</v>
      </c>
      <c r="M148" s="897"/>
      <c r="N148" s="892"/>
      <c r="O148" s="892"/>
      <c r="P148" s="891"/>
      <c r="Q148" s="879"/>
    </row>
    <row r="149" spans="1:17">
      <c r="A149" s="1319">
        <f t="shared" si="32"/>
        <v>145</v>
      </c>
      <c r="B149" s="889" t="s">
        <v>156</v>
      </c>
      <c r="C149" s="888"/>
      <c r="D149" s="958">
        <f>+D143+1</f>
        <v>4</v>
      </c>
      <c r="E149" s="888"/>
      <c r="F149" s="896">
        <f>+P143</f>
        <v>0</v>
      </c>
      <c r="G149" s="894"/>
      <c r="H149" s="893">
        <f>+H143</f>
        <v>0</v>
      </c>
      <c r="I149" s="893"/>
      <c r="J149" s="888"/>
      <c r="K149" s="888"/>
      <c r="L149" s="892">
        <f t="shared" ref="L149:L160" si="33" xml:space="preserve"> -H149*F149</f>
        <v>0</v>
      </c>
      <c r="M149" s="892"/>
      <c r="N149" s="892">
        <f>-PMT(H149,12,P143)</f>
        <v>0</v>
      </c>
      <c r="O149" s="892"/>
      <c r="P149" s="891">
        <f t="shared" ref="P149:P160" si="34">(+F149+F149*H149+N149)*-1</f>
        <v>0</v>
      </c>
      <c r="Q149" s="879"/>
    </row>
    <row r="150" spans="1:17">
      <c r="A150" s="1319">
        <f t="shared" si="32"/>
        <v>146</v>
      </c>
      <c r="B150" s="889" t="s">
        <v>155</v>
      </c>
      <c r="C150" s="888"/>
      <c r="D150" s="958">
        <f t="shared" ref="D150:D158" si="35">+D149</f>
        <v>4</v>
      </c>
      <c r="E150" s="888"/>
      <c r="F150" s="894">
        <f t="shared" ref="F150:F160" si="36">-P149</f>
        <v>0</v>
      </c>
      <c r="G150" s="894"/>
      <c r="H150" s="893">
        <f t="shared" ref="H150:H160" si="37">+H149</f>
        <v>0</v>
      </c>
      <c r="I150" s="893"/>
      <c r="J150" s="888"/>
      <c r="K150" s="888"/>
      <c r="L150" s="892">
        <f t="shared" si="33"/>
        <v>0</v>
      </c>
      <c r="M150" s="892"/>
      <c r="N150" s="892">
        <f t="shared" ref="N150:N160" si="38">N149</f>
        <v>0</v>
      </c>
      <c r="O150" s="892"/>
      <c r="P150" s="891">
        <f t="shared" si="34"/>
        <v>0</v>
      </c>
      <c r="Q150" s="879"/>
    </row>
    <row r="151" spans="1:17">
      <c r="A151" s="1319">
        <f t="shared" si="32"/>
        <v>147</v>
      </c>
      <c r="B151" s="889" t="s">
        <v>154</v>
      </c>
      <c r="C151" s="888"/>
      <c r="D151" s="958">
        <f t="shared" si="35"/>
        <v>4</v>
      </c>
      <c r="E151" s="888"/>
      <c r="F151" s="894">
        <f t="shared" si="36"/>
        <v>0</v>
      </c>
      <c r="G151" s="894"/>
      <c r="H151" s="893">
        <f t="shared" si="37"/>
        <v>0</v>
      </c>
      <c r="I151" s="893"/>
      <c r="J151" s="888"/>
      <c r="K151" s="888"/>
      <c r="L151" s="892">
        <f t="shared" si="33"/>
        <v>0</v>
      </c>
      <c r="M151" s="892"/>
      <c r="N151" s="892">
        <f t="shared" si="38"/>
        <v>0</v>
      </c>
      <c r="O151" s="892"/>
      <c r="P151" s="891">
        <f t="shared" si="34"/>
        <v>0</v>
      </c>
      <c r="Q151" s="879"/>
    </row>
    <row r="152" spans="1:17">
      <c r="A152" s="1319">
        <f t="shared" si="32"/>
        <v>148</v>
      </c>
      <c r="B152" s="889" t="s">
        <v>134</v>
      </c>
      <c r="C152" s="888"/>
      <c r="D152" s="958">
        <f t="shared" si="35"/>
        <v>4</v>
      </c>
      <c r="E152" s="888"/>
      <c r="F152" s="894">
        <f t="shared" si="36"/>
        <v>0</v>
      </c>
      <c r="G152" s="894"/>
      <c r="H152" s="893">
        <f t="shared" si="37"/>
        <v>0</v>
      </c>
      <c r="I152" s="893"/>
      <c r="J152" s="888"/>
      <c r="K152" s="888"/>
      <c r="L152" s="892">
        <f t="shared" si="33"/>
        <v>0</v>
      </c>
      <c r="M152" s="892"/>
      <c r="N152" s="892">
        <f t="shared" si="38"/>
        <v>0</v>
      </c>
      <c r="O152" s="892"/>
      <c r="P152" s="891">
        <f t="shared" si="34"/>
        <v>0</v>
      </c>
      <c r="Q152" s="879"/>
    </row>
    <row r="153" spans="1:17">
      <c r="A153" s="1319">
        <f t="shared" si="32"/>
        <v>149</v>
      </c>
      <c r="B153" s="889" t="s">
        <v>131</v>
      </c>
      <c r="C153" s="888"/>
      <c r="D153" s="958">
        <f t="shared" si="35"/>
        <v>4</v>
      </c>
      <c r="E153" s="888"/>
      <c r="F153" s="894">
        <f t="shared" si="36"/>
        <v>0</v>
      </c>
      <c r="G153" s="894"/>
      <c r="H153" s="893">
        <f t="shared" si="37"/>
        <v>0</v>
      </c>
      <c r="I153" s="893"/>
      <c r="J153" s="888"/>
      <c r="K153" s="888"/>
      <c r="L153" s="892">
        <f t="shared" si="33"/>
        <v>0</v>
      </c>
      <c r="M153" s="892"/>
      <c r="N153" s="892">
        <f t="shared" si="38"/>
        <v>0</v>
      </c>
      <c r="O153" s="892"/>
      <c r="P153" s="891">
        <f t="shared" si="34"/>
        <v>0</v>
      </c>
      <c r="Q153" s="879"/>
    </row>
    <row r="154" spans="1:17">
      <c r="A154" s="1319">
        <f t="shared" si="32"/>
        <v>150</v>
      </c>
      <c r="B154" s="889" t="s">
        <v>262</v>
      </c>
      <c r="C154" s="888"/>
      <c r="D154" s="958">
        <f t="shared" si="35"/>
        <v>4</v>
      </c>
      <c r="E154" s="888"/>
      <c r="F154" s="894">
        <f t="shared" si="36"/>
        <v>0</v>
      </c>
      <c r="G154" s="894"/>
      <c r="H154" s="893">
        <f t="shared" si="37"/>
        <v>0</v>
      </c>
      <c r="I154" s="893"/>
      <c r="J154" s="888"/>
      <c r="K154" s="888"/>
      <c r="L154" s="892">
        <f t="shared" si="33"/>
        <v>0</v>
      </c>
      <c r="M154" s="892"/>
      <c r="N154" s="892">
        <f t="shared" si="38"/>
        <v>0</v>
      </c>
      <c r="O154" s="892"/>
      <c r="P154" s="891">
        <f t="shared" si="34"/>
        <v>0</v>
      </c>
      <c r="Q154" s="879"/>
    </row>
    <row r="155" spans="1:17">
      <c r="A155" s="1319">
        <f t="shared" si="32"/>
        <v>151</v>
      </c>
      <c r="B155" s="889" t="s">
        <v>152</v>
      </c>
      <c r="C155" s="888"/>
      <c r="D155" s="958">
        <f t="shared" si="35"/>
        <v>4</v>
      </c>
      <c r="E155" s="888"/>
      <c r="F155" s="894">
        <f t="shared" si="36"/>
        <v>0</v>
      </c>
      <c r="G155" s="894"/>
      <c r="H155" s="893">
        <f t="shared" si="37"/>
        <v>0</v>
      </c>
      <c r="I155" s="893"/>
      <c r="J155" s="888"/>
      <c r="K155" s="888"/>
      <c r="L155" s="892">
        <f t="shared" si="33"/>
        <v>0</v>
      </c>
      <c r="M155" s="892"/>
      <c r="N155" s="892">
        <f t="shared" si="38"/>
        <v>0</v>
      </c>
      <c r="O155" s="892"/>
      <c r="P155" s="891">
        <f t="shared" si="34"/>
        <v>0</v>
      </c>
      <c r="Q155" s="879"/>
    </row>
    <row r="156" spans="1:17">
      <c r="A156" s="1319">
        <f t="shared" si="32"/>
        <v>152</v>
      </c>
      <c r="B156" s="889" t="s">
        <v>151</v>
      </c>
      <c r="C156" s="888"/>
      <c r="D156" s="958">
        <f t="shared" si="35"/>
        <v>4</v>
      </c>
      <c r="E156" s="888"/>
      <c r="F156" s="894">
        <f t="shared" si="36"/>
        <v>0</v>
      </c>
      <c r="G156" s="894"/>
      <c r="H156" s="893">
        <f t="shared" si="37"/>
        <v>0</v>
      </c>
      <c r="I156" s="893"/>
      <c r="J156" s="888"/>
      <c r="K156" s="888"/>
      <c r="L156" s="892">
        <f t="shared" si="33"/>
        <v>0</v>
      </c>
      <c r="M156" s="892"/>
      <c r="N156" s="892">
        <f t="shared" si="38"/>
        <v>0</v>
      </c>
      <c r="O156" s="892"/>
      <c r="P156" s="891">
        <f t="shared" si="34"/>
        <v>0</v>
      </c>
      <c r="Q156" s="879"/>
    </row>
    <row r="157" spans="1:17">
      <c r="A157" s="1319">
        <f t="shared" si="32"/>
        <v>153</v>
      </c>
      <c r="B157" s="889" t="s">
        <v>150</v>
      </c>
      <c r="C157" s="888"/>
      <c r="D157" s="958">
        <f t="shared" si="35"/>
        <v>4</v>
      </c>
      <c r="E157" s="888"/>
      <c r="F157" s="894">
        <f t="shared" si="36"/>
        <v>0</v>
      </c>
      <c r="G157" s="894"/>
      <c r="H157" s="893">
        <f t="shared" si="37"/>
        <v>0</v>
      </c>
      <c r="I157" s="893"/>
      <c r="J157" s="888"/>
      <c r="K157" s="888"/>
      <c r="L157" s="892">
        <f t="shared" si="33"/>
        <v>0</v>
      </c>
      <c r="M157" s="892"/>
      <c r="N157" s="892">
        <f t="shared" si="38"/>
        <v>0</v>
      </c>
      <c r="O157" s="892"/>
      <c r="P157" s="891">
        <f t="shared" si="34"/>
        <v>0</v>
      </c>
      <c r="Q157" s="879"/>
    </row>
    <row r="158" spans="1:17">
      <c r="A158" s="1319">
        <f t="shared" si="32"/>
        <v>154</v>
      </c>
      <c r="B158" s="889" t="s">
        <v>161</v>
      </c>
      <c r="C158" s="888"/>
      <c r="D158" s="958">
        <f t="shared" si="35"/>
        <v>4</v>
      </c>
      <c r="E158" s="888"/>
      <c r="F158" s="894">
        <f t="shared" si="36"/>
        <v>0</v>
      </c>
      <c r="G158" s="894"/>
      <c r="H158" s="893">
        <f t="shared" si="37"/>
        <v>0</v>
      </c>
      <c r="I158" s="893"/>
      <c r="J158" s="888"/>
      <c r="K158" s="888"/>
      <c r="L158" s="892">
        <f t="shared" si="33"/>
        <v>0</v>
      </c>
      <c r="M158" s="892"/>
      <c r="N158" s="892">
        <f t="shared" si="38"/>
        <v>0</v>
      </c>
      <c r="O158" s="892"/>
      <c r="P158" s="891">
        <f t="shared" si="34"/>
        <v>0</v>
      </c>
      <c r="Q158" s="879"/>
    </row>
    <row r="159" spans="1:17">
      <c r="A159" s="1319">
        <f t="shared" si="32"/>
        <v>155</v>
      </c>
      <c r="B159" s="889" t="s">
        <v>148</v>
      </c>
      <c r="C159" s="888"/>
      <c r="D159" s="958">
        <f>+D158</f>
        <v>4</v>
      </c>
      <c r="E159" s="888"/>
      <c r="F159" s="894">
        <f t="shared" si="36"/>
        <v>0</v>
      </c>
      <c r="G159" s="894"/>
      <c r="H159" s="893">
        <f t="shared" si="37"/>
        <v>0</v>
      </c>
      <c r="I159" s="893"/>
      <c r="J159" s="888"/>
      <c r="K159" s="888"/>
      <c r="L159" s="892">
        <f t="shared" si="33"/>
        <v>0</v>
      </c>
      <c r="M159" s="892"/>
      <c r="N159" s="892">
        <f t="shared" si="38"/>
        <v>0</v>
      </c>
      <c r="O159" s="892"/>
      <c r="P159" s="891">
        <f t="shared" si="34"/>
        <v>0</v>
      </c>
      <c r="Q159" s="879"/>
    </row>
    <row r="160" spans="1:17">
      <c r="A160" s="1319">
        <f t="shared" si="32"/>
        <v>156</v>
      </c>
      <c r="B160" s="889" t="s">
        <v>146</v>
      </c>
      <c r="C160" s="888"/>
      <c r="D160" s="958">
        <f>+D159</f>
        <v>4</v>
      </c>
      <c r="E160" s="888"/>
      <c r="F160" s="894">
        <f t="shared" si="36"/>
        <v>0</v>
      </c>
      <c r="G160" s="894"/>
      <c r="H160" s="893">
        <f t="shared" si="37"/>
        <v>0</v>
      </c>
      <c r="I160" s="893"/>
      <c r="J160" s="888"/>
      <c r="K160" s="888"/>
      <c r="L160" s="895">
        <f t="shared" si="33"/>
        <v>0</v>
      </c>
      <c r="M160" s="892"/>
      <c r="N160" s="892">
        <f t="shared" si="38"/>
        <v>0</v>
      </c>
      <c r="O160" s="892"/>
      <c r="P160" s="891">
        <f t="shared" si="34"/>
        <v>0</v>
      </c>
      <c r="Q160" s="879"/>
    </row>
    <row r="161" spans="1:17">
      <c r="A161" s="1319">
        <f t="shared" si="32"/>
        <v>157</v>
      </c>
      <c r="B161" s="889"/>
      <c r="C161" s="888"/>
      <c r="D161" s="958"/>
      <c r="E161" s="888"/>
      <c r="F161" s="894"/>
      <c r="G161" s="894"/>
      <c r="H161" s="893"/>
      <c r="I161" s="893"/>
      <c r="J161" s="888"/>
      <c r="K161" s="888"/>
      <c r="L161" s="892">
        <f>SUM(L149:L160)</f>
        <v>0</v>
      </c>
      <c r="M161" s="892"/>
      <c r="N161" s="892"/>
      <c r="O161" s="892"/>
      <c r="P161" s="891"/>
      <c r="Q161" s="879"/>
    </row>
    <row r="162" spans="1:17">
      <c r="A162" s="1319">
        <f t="shared" si="32"/>
        <v>158</v>
      </c>
      <c r="B162" s="890"/>
      <c r="C162" s="886"/>
      <c r="D162" s="886"/>
      <c r="E162" s="886"/>
      <c r="F162" s="886"/>
      <c r="G162" s="886"/>
      <c r="H162" s="886"/>
      <c r="I162" s="886"/>
      <c r="J162" s="886"/>
      <c r="K162" s="886"/>
      <c r="L162" s="886"/>
      <c r="M162" s="886"/>
      <c r="N162" s="886"/>
      <c r="O162" s="886"/>
      <c r="P162" s="885"/>
      <c r="Q162" s="879"/>
    </row>
    <row r="163" spans="1:17">
      <c r="A163" s="1319">
        <f t="shared" si="32"/>
        <v>159</v>
      </c>
      <c r="B163" s="889" t="s">
        <v>584</v>
      </c>
      <c r="C163" s="888"/>
      <c r="D163" s="886"/>
      <c r="E163" s="886"/>
      <c r="F163" s="886"/>
      <c r="G163" s="886"/>
      <c r="H163" s="886"/>
      <c r="I163" s="886"/>
      <c r="J163" s="886"/>
      <c r="K163" s="886"/>
      <c r="L163" s="886"/>
      <c r="M163" s="886"/>
      <c r="N163" s="887">
        <f>SUM(N149:N160)</f>
        <v>0</v>
      </c>
      <c r="O163" s="886"/>
      <c r="P163" s="885"/>
      <c r="Q163" s="879"/>
    </row>
    <row r="164" spans="1:17">
      <c r="A164" s="1319">
        <f t="shared" si="32"/>
        <v>160</v>
      </c>
      <c r="B164" s="889" t="s">
        <v>266</v>
      </c>
      <c r="C164" s="888"/>
      <c r="D164" s="886"/>
      <c r="E164" s="886"/>
      <c r="F164" s="886"/>
      <c r="G164" s="886"/>
      <c r="H164" s="886"/>
      <c r="I164" s="886"/>
      <c r="J164" s="886"/>
      <c r="K164" s="886"/>
      <c r="L164" s="886"/>
      <c r="M164" s="886"/>
      <c r="N164" s="887">
        <f>L12</f>
        <v>0</v>
      </c>
      <c r="O164" s="886"/>
      <c r="P164" s="885"/>
      <c r="Q164" s="879"/>
    </row>
    <row r="165" spans="1:17">
      <c r="A165" s="1319">
        <f t="shared" si="32"/>
        <v>161</v>
      </c>
      <c r="B165" s="889" t="s">
        <v>267</v>
      </c>
      <c r="C165" s="888"/>
      <c r="D165" s="886"/>
      <c r="E165" s="886"/>
      <c r="F165" s="886"/>
      <c r="G165" s="886"/>
      <c r="H165" s="886"/>
      <c r="I165" s="886"/>
      <c r="J165" s="886"/>
      <c r="K165" s="886"/>
      <c r="L165" s="886"/>
      <c r="M165" s="886"/>
      <c r="N165" s="887">
        <f>(N163+N164)</f>
        <v>0</v>
      </c>
      <c r="O165" s="886"/>
      <c r="P165" s="885"/>
      <c r="Q165" s="879"/>
    </row>
    <row r="166" spans="1:17">
      <c r="B166" s="915"/>
      <c r="C166" s="915"/>
      <c r="D166" s="915"/>
      <c r="E166" s="915"/>
      <c r="F166" s="915"/>
      <c r="G166" s="915"/>
      <c r="H166" s="915"/>
      <c r="I166" s="915"/>
      <c r="J166" s="915"/>
      <c r="K166" s="915"/>
      <c r="L166" s="915"/>
      <c r="M166" s="915"/>
      <c r="N166" s="915"/>
      <c r="O166" s="915"/>
      <c r="P166" s="915"/>
      <c r="Q166" s="886"/>
    </row>
    <row r="167" spans="1:17">
      <c r="B167" s="915"/>
      <c r="C167" s="915"/>
      <c r="D167" s="915"/>
      <c r="E167" s="915"/>
      <c r="F167" s="915"/>
      <c r="G167" s="915"/>
      <c r="H167" s="915"/>
      <c r="I167" s="915"/>
      <c r="J167" s="915"/>
      <c r="K167" s="915"/>
      <c r="L167" s="915"/>
      <c r="M167" s="915"/>
      <c r="N167" s="915"/>
      <c r="O167" s="915"/>
      <c r="P167" s="915"/>
      <c r="Q167" s="886"/>
    </row>
    <row r="168" spans="1:17">
      <c r="B168" s="1609"/>
      <c r="C168" s="1609"/>
      <c r="D168" s="1609"/>
      <c r="E168" s="1609"/>
      <c r="F168" s="1609"/>
      <c r="G168" s="1609"/>
      <c r="H168" s="1609"/>
      <c r="I168" s="1609"/>
      <c r="J168" s="1609"/>
      <c r="K168" s="1609"/>
      <c r="L168" s="1609"/>
      <c r="M168" s="1609"/>
      <c r="N168" s="1609"/>
      <c r="O168" s="915"/>
      <c r="P168" s="915"/>
      <c r="Q168" s="886"/>
    </row>
    <row r="169" spans="1:17">
      <c r="B169" s="1610"/>
      <c r="C169" s="1610"/>
      <c r="D169" s="1610"/>
      <c r="E169" s="1610"/>
      <c r="F169" s="1610"/>
      <c r="G169" s="1610"/>
      <c r="H169" s="1610"/>
      <c r="I169" s="1610"/>
      <c r="J169" s="1610"/>
      <c r="K169" s="1610"/>
      <c r="L169" s="1610"/>
      <c r="M169" s="1610"/>
      <c r="N169" s="1610"/>
      <c r="O169" s="915"/>
      <c r="P169" s="915"/>
      <c r="Q169" s="886"/>
    </row>
    <row r="170" spans="1:17">
      <c r="B170" s="1609"/>
      <c r="C170" s="1609"/>
      <c r="D170" s="1609"/>
      <c r="E170" s="1609"/>
      <c r="F170" s="1609"/>
      <c r="G170" s="1609"/>
      <c r="H170" s="1609"/>
      <c r="I170" s="1609"/>
      <c r="J170" s="1609"/>
      <c r="K170" s="1609"/>
      <c r="L170" s="1609"/>
      <c r="M170" s="1609"/>
      <c r="N170" s="1609"/>
      <c r="O170" s="915"/>
      <c r="P170" s="915"/>
      <c r="Q170" s="886"/>
    </row>
    <row r="171" spans="1:17">
      <c r="B171" s="915"/>
      <c r="C171" s="915"/>
      <c r="D171" s="915"/>
      <c r="E171" s="915"/>
      <c r="F171" s="915"/>
      <c r="G171" s="915"/>
      <c r="H171" s="915"/>
      <c r="I171" s="915"/>
      <c r="J171" s="915"/>
      <c r="K171" s="915"/>
      <c r="L171" s="915"/>
      <c r="M171" s="915"/>
      <c r="N171" s="915"/>
      <c r="O171" s="915"/>
      <c r="P171" s="915"/>
      <c r="Q171" s="886"/>
    </row>
    <row r="172" spans="1:17">
      <c r="B172" s="960"/>
      <c r="C172" s="906"/>
      <c r="D172" s="904"/>
      <c r="E172" s="904"/>
      <c r="F172" s="904"/>
      <c r="G172" s="904"/>
      <c r="H172" s="888"/>
      <c r="I172" s="888"/>
      <c r="J172" s="888"/>
      <c r="K172" s="888"/>
      <c r="L172" s="905"/>
      <c r="M172" s="905"/>
      <c r="N172" s="904"/>
      <c r="O172" s="904"/>
      <c r="P172" s="904"/>
      <c r="Q172" s="886"/>
    </row>
    <row r="173" spans="1:17">
      <c r="B173" s="961"/>
      <c r="C173" s="906"/>
      <c r="D173" s="904"/>
      <c r="E173" s="904"/>
      <c r="F173" s="904"/>
      <c r="G173" s="904"/>
      <c r="H173" s="888"/>
      <c r="I173" s="888"/>
      <c r="J173" s="888"/>
      <c r="K173" s="888"/>
      <c r="L173" s="905"/>
      <c r="M173" s="905"/>
      <c r="N173" s="904"/>
      <c r="O173" s="904"/>
      <c r="P173" s="904"/>
      <c r="Q173" s="886"/>
    </row>
    <row r="174" spans="1:17">
      <c r="B174" s="960"/>
      <c r="C174" s="906"/>
      <c r="D174" s="904"/>
      <c r="E174" s="904"/>
      <c r="F174" s="904"/>
      <c r="G174" s="904"/>
      <c r="H174" s="888"/>
      <c r="I174" s="888"/>
      <c r="J174" s="888"/>
      <c r="K174" s="888"/>
      <c r="L174" s="905"/>
      <c r="M174" s="905"/>
      <c r="N174" s="904"/>
      <c r="O174" s="904"/>
      <c r="P174" s="904"/>
      <c r="Q174" s="886"/>
    </row>
    <row r="175" spans="1:17">
      <c r="B175" s="888"/>
      <c r="C175" s="888"/>
      <c r="D175" s="958"/>
      <c r="E175" s="888"/>
      <c r="F175" s="892"/>
      <c r="G175" s="892"/>
      <c r="H175" s="893"/>
      <c r="I175" s="893"/>
      <c r="J175" s="901"/>
      <c r="K175" s="888"/>
      <c r="L175" s="892"/>
      <c r="M175" s="892"/>
      <c r="N175" s="892"/>
      <c r="O175" s="892"/>
      <c r="P175" s="892"/>
      <c r="Q175" s="886"/>
    </row>
    <row r="176" spans="1:17">
      <c r="B176" s="888"/>
      <c r="C176" s="888"/>
      <c r="D176" s="958"/>
      <c r="E176" s="888"/>
      <c r="F176" s="892"/>
      <c r="G176" s="892"/>
      <c r="H176" s="893"/>
      <c r="I176" s="893"/>
      <c r="J176" s="902"/>
      <c r="K176" s="886"/>
      <c r="L176" s="892"/>
      <c r="M176" s="892"/>
      <c r="N176" s="892"/>
      <c r="O176" s="892"/>
      <c r="P176" s="892"/>
      <c r="Q176" s="886"/>
    </row>
    <row r="177" spans="2:17">
      <c r="B177" s="888"/>
      <c r="C177" s="888"/>
      <c r="D177" s="958"/>
      <c r="E177" s="888"/>
      <c r="F177" s="892"/>
      <c r="G177" s="892"/>
      <c r="H177" s="893"/>
      <c r="I177" s="893"/>
      <c r="J177" s="902"/>
      <c r="K177" s="886"/>
      <c r="L177" s="892"/>
      <c r="M177" s="892"/>
      <c r="N177" s="892"/>
      <c r="O177" s="892"/>
      <c r="P177" s="892"/>
      <c r="Q177" s="886"/>
    </row>
    <row r="178" spans="2:17">
      <c r="B178" s="888"/>
      <c r="C178" s="888"/>
      <c r="D178" s="958"/>
      <c r="E178" s="888"/>
      <c r="F178" s="892"/>
      <c r="G178" s="892"/>
      <c r="H178" s="893"/>
      <c r="I178" s="893"/>
      <c r="J178" s="902"/>
      <c r="K178" s="886"/>
      <c r="L178" s="892"/>
      <c r="M178" s="892"/>
      <c r="N178" s="892"/>
      <c r="O178" s="892"/>
      <c r="P178" s="892"/>
      <c r="Q178" s="886"/>
    </row>
    <row r="179" spans="2:17">
      <c r="B179" s="888"/>
      <c r="C179" s="888"/>
      <c r="D179" s="958"/>
      <c r="E179" s="888"/>
      <c r="F179" s="892"/>
      <c r="G179" s="892"/>
      <c r="H179" s="893"/>
      <c r="I179" s="893"/>
      <c r="J179" s="902"/>
      <c r="K179" s="886"/>
      <c r="L179" s="892"/>
      <c r="M179" s="892"/>
      <c r="N179" s="892"/>
      <c r="O179" s="892"/>
      <c r="P179" s="892"/>
      <c r="Q179" s="886"/>
    </row>
    <row r="180" spans="2:17">
      <c r="B180" s="888"/>
      <c r="C180" s="888"/>
      <c r="D180" s="958"/>
      <c r="E180" s="888"/>
      <c r="F180" s="892"/>
      <c r="G180" s="892"/>
      <c r="H180" s="893"/>
      <c r="I180" s="893"/>
      <c r="J180" s="902"/>
      <c r="K180" s="886"/>
      <c r="L180" s="892"/>
      <c r="M180" s="892"/>
      <c r="N180" s="892"/>
      <c r="O180" s="892"/>
      <c r="P180" s="892"/>
      <c r="Q180" s="886"/>
    </row>
    <row r="181" spans="2:17">
      <c r="B181" s="888"/>
      <c r="C181" s="888"/>
      <c r="D181" s="958"/>
      <c r="E181" s="888"/>
      <c r="F181" s="892"/>
      <c r="G181" s="892"/>
      <c r="H181" s="893"/>
      <c r="I181" s="893"/>
      <c r="J181" s="902"/>
      <c r="K181" s="886"/>
      <c r="L181" s="892"/>
      <c r="M181" s="892"/>
      <c r="N181" s="892"/>
      <c r="O181" s="892"/>
      <c r="P181" s="892"/>
      <c r="Q181" s="886"/>
    </row>
    <row r="182" spans="2:17">
      <c r="B182" s="888"/>
      <c r="C182" s="888"/>
      <c r="D182" s="958"/>
      <c r="E182" s="888"/>
      <c r="F182" s="892"/>
      <c r="G182" s="892"/>
      <c r="H182" s="893"/>
      <c r="I182" s="893"/>
      <c r="J182" s="902"/>
      <c r="K182" s="886"/>
      <c r="L182" s="892"/>
      <c r="M182" s="892"/>
      <c r="N182" s="892"/>
      <c r="O182" s="892"/>
      <c r="P182" s="892"/>
      <c r="Q182" s="886"/>
    </row>
    <row r="183" spans="2:17">
      <c r="B183" s="888"/>
      <c r="C183" s="888"/>
      <c r="D183" s="958"/>
      <c r="E183" s="888"/>
      <c r="F183" s="892"/>
      <c r="G183" s="892"/>
      <c r="H183" s="893"/>
      <c r="I183" s="893"/>
      <c r="J183" s="902"/>
      <c r="K183" s="886"/>
      <c r="L183" s="892"/>
      <c r="M183" s="892"/>
      <c r="N183" s="892"/>
      <c r="O183" s="892"/>
      <c r="P183" s="892"/>
      <c r="Q183" s="886"/>
    </row>
    <row r="184" spans="2:17">
      <c r="B184" s="888"/>
      <c r="C184" s="888"/>
      <c r="D184" s="958"/>
      <c r="E184" s="888"/>
      <c r="F184" s="892"/>
      <c r="G184" s="892"/>
      <c r="H184" s="893"/>
      <c r="I184" s="893"/>
      <c r="J184" s="902"/>
      <c r="K184" s="886"/>
      <c r="L184" s="892"/>
      <c r="M184" s="892"/>
      <c r="N184" s="892"/>
      <c r="O184" s="892"/>
      <c r="P184" s="892"/>
      <c r="Q184" s="886"/>
    </row>
    <row r="185" spans="2:17">
      <c r="B185" s="888"/>
      <c r="C185" s="888"/>
      <c r="D185" s="958"/>
      <c r="E185" s="888"/>
      <c r="F185" s="892"/>
      <c r="G185" s="892"/>
      <c r="H185" s="893"/>
      <c r="I185" s="893"/>
      <c r="J185" s="902"/>
      <c r="K185" s="886"/>
      <c r="L185" s="892"/>
      <c r="M185" s="892"/>
      <c r="N185" s="892"/>
      <c r="O185" s="892"/>
      <c r="P185" s="892"/>
      <c r="Q185" s="886"/>
    </row>
    <row r="186" spans="2:17">
      <c r="B186" s="888"/>
      <c r="C186" s="888"/>
      <c r="D186" s="958"/>
      <c r="E186" s="888"/>
      <c r="F186" s="892"/>
      <c r="G186" s="892"/>
      <c r="H186" s="893"/>
      <c r="I186" s="893"/>
      <c r="J186" s="902"/>
      <c r="K186" s="886"/>
      <c r="L186" s="892"/>
      <c r="M186" s="892"/>
      <c r="N186" s="892"/>
      <c r="O186" s="892"/>
      <c r="P186" s="892"/>
      <c r="Q186" s="886"/>
    </row>
    <row r="187" spans="2:17">
      <c r="B187" s="888"/>
      <c r="C187" s="888"/>
      <c r="D187" s="888"/>
      <c r="E187" s="888"/>
      <c r="F187" s="892"/>
      <c r="G187" s="892"/>
      <c r="H187" s="893"/>
      <c r="I187" s="893"/>
      <c r="J187" s="886"/>
      <c r="K187" s="886"/>
      <c r="L187" s="892"/>
      <c r="M187" s="892"/>
      <c r="N187" s="892"/>
      <c r="O187" s="892"/>
      <c r="P187" s="962"/>
      <c r="Q187" s="886"/>
    </row>
    <row r="188" spans="2:17">
      <c r="B188" s="888"/>
      <c r="C188" s="888"/>
      <c r="D188" s="888"/>
      <c r="E188" s="888"/>
      <c r="F188" s="892"/>
      <c r="G188" s="892"/>
      <c r="H188" s="893"/>
      <c r="I188" s="893"/>
      <c r="J188" s="886"/>
      <c r="K188" s="886"/>
      <c r="L188" s="892"/>
      <c r="M188" s="892"/>
      <c r="N188" s="892"/>
      <c r="O188" s="892"/>
      <c r="P188" s="962"/>
      <c r="Q188" s="886"/>
    </row>
    <row r="189" spans="2:17">
      <c r="B189" s="888"/>
      <c r="C189" s="888"/>
      <c r="D189" s="888"/>
      <c r="E189" s="888"/>
      <c r="F189" s="892"/>
      <c r="G189" s="892"/>
      <c r="H189" s="893"/>
      <c r="I189" s="893"/>
      <c r="J189" s="886"/>
      <c r="K189" s="886"/>
      <c r="L189" s="897"/>
      <c r="M189" s="892"/>
      <c r="N189" s="892"/>
      <c r="O189" s="892"/>
      <c r="P189" s="962"/>
      <c r="Q189" s="886"/>
    </row>
    <row r="190" spans="2:17">
      <c r="B190" s="888"/>
      <c r="C190" s="888"/>
      <c r="D190" s="888"/>
      <c r="E190" s="888"/>
      <c r="F190" s="892"/>
      <c r="G190" s="892"/>
      <c r="H190" s="893"/>
      <c r="I190" s="893"/>
      <c r="J190" s="886"/>
      <c r="K190" s="886"/>
      <c r="L190" s="897"/>
      <c r="M190" s="892"/>
      <c r="N190" s="892"/>
      <c r="O190" s="892"/>
      <c r="P190" s="962"/>
      <c r="Q190" s="886"/>
    </row>
    <row r="191" spans="2:17">
      <c r="B191" s="888"/>
      <c r="C191" s="888"/>
      <c r="D191" s="959"/>
      <c r="E191" s="888"/>
      <c r="F191" s="894"/>
      <c r="G191" s="894"/>
      <c r="H191" s="893"/>
      <c r="I191" s="893"/>
      <c r="J191" s="901"/>
      <c r="K191" s="888"/>
      <c r="L191" s="892"/>
      <c r="M191" s="892"/>
      <c r="N191" s="892"/>
      <c r="O191" s="892"/>
      <c r="P191" s="962"/>
      <c r="Q191" s="886"/>
    </row>
    <row r="192" spans="2:17">
      <c r="B192" s="888"/>
      <c r="C192" s="888"/>
      <c r="D192" s="959"/>
      <c r="E192" s="888"/>
      <c r="F192" s="894"/>
      <c r="G192" s="894"/>
      <c r="H192" s="893"/>
      <c r="I192" s="893"/>
      <c r="J192" s="901"/>
      <c r="K192" s="888"/>
      <c r="L192" s="892"/>
      <c r="M192" s="892"/>
      <c r="N192" s="892"/>
      <c r="O192" s="892"/>
      <c r="P192" s="962"/>
      <c r="Q192" s="886"/>
    </row>
    <row r="193" spans="2:17">
      <c r="B193" s="888"/>
      <c r="C193" s="888"/>
      <c r="D193" s="959"/>
      <c r="E193" s="888"/>
      <c r="F193" s="894"/>
      <c r="G193" s="894"/>
      <c r="H193" s="893"/>
      <c r="I193" s="893"/>
      <c r="J193" s="888"/>
      <c r="K193" s="888"/>
      <c r="L193" s="892"/>
      <c r="M193" s="892"/>
      <c r="N193" s="892"/>
      <c r="O193" s="892"/>
      <c r="P193" s="962"/>
      <c r="Q193" s="886"/>
    </row>
    <row r="194" spans="2:17">
      <c r="B194" s="888"/>
      <c r="C194" s="888"/>
      <c r="D194" s="959"/>
      <c r="E194" s="888"/>
      <c r="F194" s="894"/>
      <c r="G194" s="894"/>
      <c r="H194" s="893"/>
      <c r="I194" s="893"/>
      <c r="J194" s="888"/>
      <c r="K194" s="888"/>
      <c r="L194" s="892"/>
      <c r="M194" s="892"/>
      <c r="N194" s="892"/>
      <c r="O194" s="892"/>
      <c r="P194" s="892"/>
      <c r="Q194" s="886"/>
    </row>
    <row r="195" spans="2:17">
      <c r="B195" s="898"/>
      <c r="C195" s="898"/>
      <c r="D195" s="959"/>
      <c r="E195" s="888"/>
      <c r="F195" s="892"/>
      <c r="G195" s="892"/>
      <c r="H195" s="893"/>
      <c r="I195" s="893"/>
      <c r="J195" s="888"/>
      <c r="K195" s="888"/>
      <c r="L195" s="897"/>
      <c r="M195" s="897"/>
      <c r="N195" s="892"/>
      <c r="O195" s="892"/>
      <c r="P195" s="892"/>
      <c r="Q195" s="886"/>
    </row>
    <row r="196" spans="2:17">
      <c r="B196" s="888"/>
      <c r="C196" s="888"/>
      <c r="D196" s="888"/>
      <c r="E196" s="888"/>
      <c r="F196" s="896"/>
      <c r="G196" s="894"/>
      <c r="H196" s="893"/>
      <c r="I196" s="893"/>
      <c r="J196" s="888"/>
      <c r="K196" s="888"/>
      <c r="L196" s="892"/>
      <c r="M196" s="892"/>
      <c r="N196" s="892"/>
      <c r="O196" s="892"/>
      <c r="P196" s="892"/>
      <c r="Q196" s="886"/>
    </row>
    <row r="197" spans="2:17">
      <c r="B197" s="888"/>
      <c r="C197" s="888"/>
      <c r="D197" s="888"/>
      <c r="E197" s="888"/>
      <c r="F197" s="894"/>
      <c r="G197" s="894"/>
      <c r="H197" s="893"/>
      <c r="I197" s="893"/>
      <c r="J197" s="888"/>
      <c r="K197" s="888"/>
      <c r="L197" s="892"/>
      <c r="M197" s="892"/>
      <c r="N197" s="892"/>
      <c r="O197" s="892"/>
      <c r="P197" s="892"/>
      <c r="Q197" s="886"/>
    </row>
    <row r="198" spans="2:17">
      <c r="B198" s="888"/>
      <c r="C198" s="888"/>
      <c r="D198" s="888"/>
      <c r="E198" s="888"/>
      <c r="F198" s="894"/>
      <c r="G198" s="894"/>
      <c r="H198" s="893"/>
      <c r="I198" s="893"/>
      <c r="J198" s="888"/>
      <c r="K198" s="888"/>
      <c r="L198" s="892"/>
      <c r="M198" s="892"/>
      <c r="N198" s="892"/>
      <c r="O198" s="892"/>
      <c r="P198" s="892"/>
      <c r="Q198" s="886"/>
    </row>
    <row r="199" spans="2:17">
      <c r="B199" s="888"/>
      <c r="C199" s="888"/>
      <c r="D199" s="958"/>
      <c r="E199" s="888"/>
      <c r="F199" s="894"/>
      <c r="G199" s="894"/>
      <c r="H199" s="893"/>
      <c r="I199" s="893"/>
      <c r="J199" s="888"/>
      <c r="K199" s="888"/>
      <c r="L199" s="892"/>
      <c r="M199" s="892"/>
      <c r="N199" s="892"/>
      <c r="O199" s="892"/>
      <c r="P199" s="892"/>
      <c r="Q199" s="886"/>
    </row>
    <row r="200" spans="2:17">
      <c r="B200" s="888"/>
      <c r="C200" s="888"/>
      <c r="D200" s="958"/>
      <c r="E200" s="888"/>
      <c r="F200" s="894"/>
      <c r="G200" s="894"/>
      <c r="H200" s="893"/>
      <c r="I200" s="893"/>
      <c r="J200" s="888"/>
      <c r="K200" s="888"/>
      <c r="L200" s="892"/>
      <c r="M200" s="892"/>
      <c r="N200" s="892"/>
      <c r="O200" s="892"/>
      <c r="P200" s="892"/>
      <c r="Q200" s="886"/>
    </row>
    <row r="201" spans="2:17">
      <c r="B201" s="888"/>
      <c r="C201" s="888"/>
      <c r="D201" s="958"/>
      <c r="E201" s="888"/>
      <c r="F201" s="894"/>
      <c r="G201" s="894"/>
      <c r="H201" s="893"/>
      <c r="I201" s="893"/>
      <c r="J201" s="888"/>
      <c r="K201" s="888"/>
      <c r="L201" s="892"/>
      <c r="M201" s="892"/>
      <c r="N201" s="892"/>
      <c r="O201" s="892"/>
      <c r="P201" s="892"/>
      <c r="Q201" s="886"/>
    </row>
    <row r="202" spans="2:17">
      <c r="B202" s="888"/>
      <c r="C202" s="888"/>
      <c r="D202" s="958"/>
      <c r="E202" s="888"/>
      <c r="F202" s="894"/>
      <c r="G202" s="894"/>
      <c r="H202" s="893"/>
      <c r="I202" s="893"/>
      <c r="J202" s="888"/>
      <c r="K202" s="888"/>
      <c r="L202" s="892"/>
      <c r="M202" s="892"/>
      <c r="N202" s="892"/>
      <c r="O202" s="892"/>
      <c r="P202" s="892"/>
      <c r="Q202" s="886"/>
    </row>
    <row r="203" spans="2:17">
      <c r="B203" s="888"/>
      <c r="C203" s="888"/>
      <c r="D203" s="958"/>
      <c r="E203" s="888"/>
      <c r="F203" s="894"/>
      <c r="G203" s="894"/>
      <c r="H203" s="893"/>
      <c r="I203" s="893"/>
      <c r="J203" s="888"/>
      <c r="K203" s="888"/>
      <c r="L203" s="892"/>
      <c r="M203" s="892"/>
      <c r="N203" s="892"/>
      <c r="O203" s="892"/>
      <c r="P203" s="892"/>
      <c r="Q203" s="886"/>
    </row>
    <row r="204" spans="2:17">
      <c r="B204" s="888"/>
      <c r="C204" s="888"/>
      <c r="D204" s="958"/>
      <c r="E204" s="888"/>
      <c r="F204" s="894"/>
      <c r="G204" s="894"/>
      <c r="H204" s="893"/>
      <c r="I204" s="893"/>
      <c r="J204" s="888"/>
      <c r="K204" s="888"/>
      <c r="L204" s="892"/>
      <c r="M204" s="892"/>
      <c r="N204" s="892"/>
      <c r="O204" s="892"/>
      <c r="P204" s="892"/>
      <c r="Q204" s="886"/>
    </row>
    <row r="205" spans="2:17">
      <c r="B205" s="888"/>
      <c r="C205" s="888"/>
      <c r="D205" s="958"/>
      <c r="E205" s="888"/>
      <c r="F205" s="894"/>
      <c r="G205" s="894"/>
      <c r="H205" s="893"/>
      <c r="I205" s="893"/>
      <c r="J205" s="888"/>
      <c r="K205" s="888"/>
      <c r="L205" s="892"/>
      <c r="M205" s="892"/>
      <c r="N205" s="892"/>
      <c r="O205" s="892"/>
      <c r="P205" s="892"/>
      <c r="Q205" s="886"/>
    </row>
    <row r="206" spans="2:17">
      <c r="B206" s="888"/>
      <c r="C206" s="888"/>
      <c r="D206" s="958"/>
      <c r="E206" s="888"/>
      <c r="F206" s="894"/>
      <c r="G206" s="894"/>
      <c r="H206" s="893"/>
      <c r="I206" s="893"/>
      <c r="J206" s="888"/>
      <c r="K206" s="888"/>
      <c r="L206" s="892"/>
      <c r="M206" s="892"/>
      <c r="N206" s="892"/>
      <c r="O206" s="892"/>
      <c r="P206" s="892"/>
      <c r="Q206" s="886"/>
    </row>
    <row r="207" spans="2:17">
      <c r="B207" s="888"/>
      <c r="C207" s="888"/>
      <c r="D207" s="958"/>
      <c r="E207" s="888"/>
      <c r="F207" s="894"/>
      <c r="G207" s="894"/>
      <c r="H207" s="893"/>
      <c r="I207" s="893"/>
      <c r="J207" s="888"/>
      <c r="K207" s="888"/>
      <c r="L207" s="892"/>
      <c r="M207" s="892"/>
      <c r="N207" s="892"/>
      <c r="O207" s="892"/>
      <c r="P207" s="892"/>
      <c r="Q207" s="886"/>
    </row>
    <row r="208" spans="2:17">
      <c r="B208" s="888"/>
      <c r="C208" s="888"/>
      <c r="D208" s="958"/>
      <c r="E208" s="888"/>
      <c r="F208" s="894"/>
      <c r="G208" s="894"/>
      <c r="H208" s="893"/>
      <c r="I208" s="893"/>
      <c r="J208" s="888"/>
      <c r="K208" s="888"/>
      <c r="L208" s="892"/>
      <c r="M208" s="892"/>
      <c r="N208" s="892"/>
      <c r="O208" s="892"/>
      <c r="P208" s="892"/>
      <c r="Q208" s="886"/>
    </row>
    <row r="209" spans="2:17">
      <c r="B209" s="886"/>
      <c r="C209" s="886"/>
      <c r="D209" s="958"/>
      <c r="E209" s="886"/>
      <c r="F209" s="886"/>
      <c r="G209" s="886"/>
      <c r="H209" s="886"/>
      <c r="I209" s="886"/>
      <c r="J209" s="886"/>
      <c r="K209" s="886"/>
      <c r="L209" s="886"/>
      <c r="M209" s="886"/>
      <c r="N209" s="886"/>
      <c r="O209" s="886"/>
      <c r="P209" s="886"/>
      <c r="Q209" s="886"/>
    </row>
    <row r="210" spans="2:17">
      <c r="B210" s="888"/>
      <c r="C210" s="888"/>
      <c r="D210" s="886"/>
      <c r="E210" s="886"/>
      <c r="F210" s="886"/>
      <c r="G210" s="886"/>
      <c r="H210" s="886"/>
      <c r="I210" s="886"/>
      <c r="J210" s="886"/>
      <c r="K210" s="886"/>
      <c r="L210" s="886"/>
      <c r="M210" s="886"/>
      <c r="N210" s="887"/>
      <c r="O210" s="886"/>
      <c r="P210" s="886"/>
      <c r="Q210" s="886"/>
    </row>
    <row r="211" spans="2:17">
      <c r="B211" s="888"/>
      <c r="C211" s="888"/>
      <c r="D211" s="886"/>
      <c r="E211" s="886"/>
      <c r="F211" s="886"/>
      <c r="G211" s="886"/>
      <c r="H211" s="886"/>
      <c r="I211" s="886"/>
      <c r="J211" s="886"/>
      <c r="K211" s="886"/>
      <c r="L211" s="886"/>
      <c r="M211" s="886"/>
      <c r="N211" s="887"/>
      <c r="O211" s="886"/>
      <c r="P211" s="886"/>
      <c r="Q211" s="886"/>
    </row>
    <row r="212" spans="2:17">
      <c r="B212" s="888"/>
      <c r="C212" s="888"/>
      <c r="D212" s="886"/>
      <c r="E212" s="886"/>
      <c r="F212" s="886"/>
      <c r="G212" s="886"/>
      <c r="H212" s="886"/>
      <c r="I212" s="886"/>
      <c r="J212" s="886"/>
      <c r="K212" s="886"/>
      <c r="L212" s="886"/>
      <c r="M212" s="886"/>
      <c r="N212" s="887"/>
      <c r="O212" s="886"/>
      <c r="P212" s="886"/>
      <c r="Q212" s="886"/>
    </row>
    <row r="213" spans="2:17">
      <c r="B213" s="915"/>
      <c r="C213" s="915"/>
      <c r="D213" s="915"/>
      <c r="E213" s="915"/>
      <c r="F213" s="915"/>
      <c r="G213" s="915"/>
      <c r="H213" s="915"/>
      <c r="I213" s="915"/>
      <c r="J213" s="915"/>
      <c r="K213" s="915"/>
      <c r="L213" s="915"/>
      <c r="M213" s="915"/>
      <c r="N213" s="915"/>
      <c r="O213" s="915"/>
      <c r="P213" s="915"/>
      <c r="Q213" s="886"/>
    </row>
    <row r="214" spans="2:17">
      <c r="B214" s="915"/>
      <c r="C214" s="915"/>
      <c r="D214" s="915"/>
      <c r="E214" s="915"/>
      <c r="F214" s="915"/>
      <c r="G214" s="915"/>
      <c r="H214" s="915"/>
      <c r="I214" s="915"/>
      <c r="J214" s="915"/>
      <c r="K214" s="915"/>
      <c r="L214" s="915"/>
      <c r="M214" s="915"/>
      <c r="N214" s="915"/>
      <c r="O214" s="915"/>
      <c r="P214" s="915"/>
      <c r="Q214" s="886"/>
    </row>
    <row r="215" spans="2:17">
      <c r="B215" s="960"/>
      <c r="C215" s="906"/>
      <c r="D215" s="904"/>
      <c r="E215" s="904"/>
      <c r="F215" s="904"/>
      <c r="G215" s="904"/>
      <c r="H215" s="888"/>
      <c r="I215" s="888"/>
      <c r="J215" s="888"/>
      <c r="K215" s="888"/>
      <c r="L215" s="905"/>
      <c r="M215" s="905"/>
      <c r="N215" s="904"/>
      <c r="O215" s="904"/>
      <c r="P215" s="904"/>
      <c r="Q215" s="886"/>
    </row>
    <row r="216" spans="2:17">
      <c r="B216" s="961"/>
      <c r="C216" s="906"/>
      <c r="D216" s="904"/>
      <c r="E216" s="904"/>
      <c r="F216" s="904"/>
      <c r="G216" s="904"/>
      <c r="H216" s="888"/>
      <c r="I216" s="888"/>
      <c r="J216" s="888"/>
      <c r="K216" s="888"/>
      <c r="L216" s="905"/>
      <c r="M216" s="905"/>
      <c r="N216" s="904"/>
      <c r="O216" s="904"/>
      <c r="P216" s="904"/>
      <c r="Q216" s="886"/>
    </row>
    <row r="217" spans="2:17">
      <c r="B217" s="960"/>
      <c r="C217" s="906"/>
      <c r="D217" s="904"/>
      <c r="E217" s="904"/>
      <c r="F217" s="904"/>
      <c r="G217" s="904"/>
      <c r="H217" s="888"/>
      <c r="I217" s="888"/>
      <c r="J217" s="888"/>
      <c r="K217" s="888"/>
      <c r="L217" s="905"/>
      <c r="M217" s="905"/>
      <c r="N217" s="904"/>
      <c r="O217" s="904"/>
      <c r="P217" s="904"/>
      <c r="Q217" s="886"/>
    </row>
    <row r="218" spans="2:17">
      <c r="B218" s="888"/>
      <c r="C218" s="888"/>
      <c r="D218" s="958"/>
      <c r="E218" s="888"/>
      <c r="F218" s="892"/>
      <c r="G218" s="892"/>
      <c r="H218" s="893"/>
      <c r="I218" s="893"/>
      <c r="J218" s="901"/>
      <c r="K218" s="888"/>
      <c r="L218" s="892"/>
      <c r="M218" s="892"/>
      <c r="N218" s="892"/>
      <c r="O218" s="892"/>
      <c r="P218" s="892"/>
      <c r="Q218" s="886"/>
    </row>
    <row r="219" spans="2:17">
      <c r="B219" s="888"/>
      <c r="C219" s="888"/>
      <c r="D219" s="958"/>
      <c r="E219" s="888"/>
      <c r="F219" s="892"/>
      <c r="G219" s="892"/>
      <c r="H219" s="893"/>
      <c r="I219" s="893"/>
      <c r="J219" s="902"/>
      <c r="K219" s="886"/>
      <c r="L219" s="892"/>
      <c r="M219" s="892"/>
      <c r="N219" s="892"/>
      <c r="O219" s="892"/>
      <c r="P219" s="892"/>
      <c r="Q219" s="886"/>
    </row>
    <row r="220" spans="2:17">
      <c r="B220" s="888"/>
      <c r="C220" s="888"/>
      <c r="D220" s="958"/>
      <c r="E220" s="888"/>
      <c r="F220" s="892"/>
      <c r="G220" s="892"/>
      <c r="H220" s="893"/>
      <c r="I220" s="893"/>
      <c r="J220" s="902"/>
      <c r="K220" s="886"/>
      <c r="L220" s="892"/>
      <c r="M220" s="892"/>
      <c r="N220" s="892"/>
      <c r="O220" s="892"/>
      <c r="P220" s="892"/>
      <c r="Q220" s="886"/>
    </row>
    <row r="221" spans="2:17">
      <c r="B221" s="888"/>
      <c r="C221" s="888"/>
      <c r="D221" s="958"/>
      <c r="E221" s="888"/>
      <c r="F221" s="892"/>
      <c r="G221" s="892"/>
      <c r="H221" s="893"/>
      <c r="I221" s="893"/>
      <c r="J221" s="902"/>
      <c r="K221" s="886"/>
      <c r="L221" s="892"/>
      <c r="M221" s="892"/>
      <c r="N221" s="892"/>
      <c r="O221" s="892"/>
      <c r="P221" s="892"/>
      <c r="Q221" s="886"/>
    </row>
    <row r="222" spans="2:17">
      <c r="B222" s="888"/>
      <c r="C222" s="888"/>
      <c r="D222" s="958"/>
      <c r="E222" s="888"/>
      <c r="F222" s="892"/>
      <c r="G222" s="892"/>
      <c r="H222" s="893"/>
      <c r="I222" s="893"/>
      <c r="J222" s="902"/>
      <c r="K222" s="886"/>
      <c r="L222" s="892"/>
      <c r="M222" s="892"/>
      <c r="N222" s="892"/>
      <c r="O222" s="892"/>
      <c r="P222" s="892"/>
      <c r="Q222" s="886"/>
    </row>
    <row r="223" spans="2:17">
      <c r="B223" s="888"/>
      <c r="C223" s="888"/>
      <c r="D223" s="958"/>
      <c r="E223" s="888"/>
      <c r="F223" s="892"/>
      <c r="G223" s="892"/>
      <c r="H223" s="893"/>
      <c r="I223" s="893"/>
      <c r="J223" s="902"/>
      <c r="K223" s="886"/>
      <c r="L223" s="892"/>
      <c r="M223" s="892"/>
      <c r="N223" s="892"/>
      <c r="O223" s="892"/>
      <c r="P223" s="892"/>
      <c r="Q223" s="886"/>
    </row>
    <row r="224" spans="2:17">
      <c r="B224" s="888"/>
      <c r="C224" s="888"/>
      <c r="D224" s="958"/>
      <c r="E224" s="888"/>
      <c r="F224" s="892"/>
      <c r="G224" s="892"/>
      <c r="H224" s="893"/>
      <c r="I224" s="893"/>
      <c r="J224" s="902"/>
      <c r="K224" s="886"/>
      <c r="L224" s="892"/>
      <c r="M224" s="892"/>
      <c r="N224" s="892"/>
      <c r="O224" s="892"/>
      <c r="P224" s="892"/>
      <c r="Q224" s="886"/>
    </row>
    <row r="225" spans="2:17">
      <c r="B225" s="888"/>
      <c r="C225" s="888"/>
      <c r="D225" s="958"/>
      <c r="E225" s="888"/>
      <c r="F225" s="892"/>
      <c r="G225" s="892"/>
      <c r="H225" s="893"/>
      <c r="I225" s="893"/>
      <c r="J225" s="902"/>
      <c r="K225" s="886"/>
      <c r="L225" s="892"/>
      <c r="M225" s="892"/>
      <c r="N225" s="892"/>
      <c r="O225" s="892"/>
      <c r="P225" s="892"/>
      <c r="Q225" s="886"/>
    </row>
    <row r="226" spans="2:17">
      <c r="B226" s="888"/>
      <c r="C226" s="888"/>
      <c r="D226" s="958"/>
      <c r="E226" s="888"/>
      <c r="F226" s="892"/>
      <c r="G226" s="892"/>
      <c r="H226" s="893"/>
      <c r="I226" s="893"/>
      <c r="J226" s="902"/>
      <c r="K226" s="886"/>
      <c r="L226" s="892"/>
      <c r="M226" s="892"/>
      <c r="N226" s="892"/>
      <c r="O226" s="892"/>
      <c r="P226" s="892"/>
      <c r="Q226" s="886"/>
    </row>
    <row r="227" spans="2:17">
      <c r="B227" s="888"/>
      <c r="C227" s="888"/>
      <c r="D227" s="958"/>
      <c r="E227" s="888"/>
      <c r="F227" s="892"/>
      <c r="G227" s="892"/>
      <c r="H227" s="893"/>
      <c r="I227" s="893"/>
      <c r="J227" s="902"/>
      <c r="K227" s="886"/>
      <c r="L227" s="892"/>
      <c r="M227" s="892"/>
      <c r="N227" s="892"/>
      <c r="O227" s="892"/>
      <c r="P227" s="892"/>
      <c r="Q227" s="886"/>
    </row>
    <row r="228" spans="2:17">
      <c r="B228" s="888"/>
      <c r="C228" s="888"/>
      <c r="D228" s="958"/>
      <c r="E228" s="888"/>
      <c r="F228" s="892"/>
      <c r="G228" s="892"/>
      <c r="H228" s="893"/>
      <c r="I228" s="893"/>
      <c r="J228" s="902"/>
      <c r="K228" s="886"/>
      <c r="L228" s="892"/>
      <c r="M228" s="892"/>
      <c r="N228" s="892"/>
      <c r="O228" s="892"/>
      <c r="P228" s="892"/>
      <c r="Q228" s="886"/>
    </row>
    <row r="229" spans="2:17">
      <c r="B229" s="888"/>
      <c r="C229" s="888"/>
      <c r="D229" s="958"/>
      <c r="E229" s="888"/>
      <c r="F229" s="892"/>
      <c r="G229" s="892"/>
      <c r="H229" s="893"/>
      <c r="I229" s="893"/>
      <c r="J229" s="902"/>
      <c r="K229" s="886"/>
      <c r="L229" s="892"/>
      <c r="M229" s="892"/>
      <c r="N229" s="892"/>
      <c r="O229" s="892"/>
      <c r="P229" s="892"/>
      <c r="Q229" s="886"/>
    </row>
    <row r="230" spans="2:17">
      <c r="B230" s="888"/>
      <c r="C230" s="888"/>
      <c r="D230" s="888"/>
      <c r="E230" s="888"/>
      <c r="F230" s="892"/>
      <c r="G230" s="892"/>
      <c r="H230" s="893"/>
      <c r="I230" s="893"/>
      <c r="J230" s="886"/>
      <c r="K230" s="886"/>
      <c r="L230" s="892"/>
      <c r="M230" s="892"/>
      <c r="N230" s="892"/>
      <c r="O230" s="892"/>
      <c r="P230" s="962"/>
      <c r="Q230" s="886"/>
    </row>
    <row r="231" spans="2:17">
      <c r="B231" s="888"/>
      <c r="C231" s="888"/>
      <c r="D231" s="888"/>
      <c r="E231" s="888"/>
      <c r="F231" s="892"/>
      <c r="G231" s="892"/>
      <c r="H231" s="893"/>
      <c r="I231" s="893"/>
      <c r="J231" s="886"/>
      <c r="K231" s="886"/>
      <c r="L231" s="892"/>
      <c r="M231" s="892"/>
      <c r="N231" s="892"/>
      <c r="O231" s="892"/>
      <c r="P231" s="962"/>
      <c r="Q231" s="886"/>
    </row>
    <row r="232" spans="2:17">
      <c r="B232" s="888"/>
      <c r="C232" s="888"/>
      <c r="D232" s="888"/>
      <c r="E232" s="888"/>
      <c r="F232" s="892"/>
      <c r="G232" s="892"/>
      <c r="H232" s="893"/>
      <c r="I232" s="893"/>
      <c r="J232" s="886"/>
      <c r="K232" s="886"/>
      <c r="L232" s="897"/>
      <c r="M232" s="892"/>
      <c r="N232" s="892"/>
      <c r="O232" s="892"/>
      <c r="P232" s="962"/>
      <c r="Q232" s="886"/>
    </row>
    <row r="233" spans="2:17">
      <c r="B233" s="888"/>
      <c r="C233" s="888"/>
      <c r="D233" s="888"/>
      <c r="E233" s="888"/>
      <c r="F233" s="892"/>
      <c r="G233" s="892"/>
      <c r="H233" s="893"/>
      <c r="I233" s="893"/>
      <c r="J233" s="886"/>
      <c r="K233" s="886"/>
      <c r="L233" s="897"/>
      <c r="M233" s="892"/>
      <c r="N233" s="892"/>
      <c r="O233" s="892"/>
      <c r="P233" s="962"/>
      <c r="Q233" s="886"/>
    </row>
    <row r="234" spans="2:17">
      <c r="B234" s="888"/>
      <c r="C234" s="888"/>
      <c r="D234" s="959"/>
      <c r="E234" s="888"/>
      <c r="F234" s="894"/>
      <c r="G234" s="894"/>
      <c r="H234" s="893"/>
      <c r="I234" s="893"/>
      <c r="J234" s="901"/>
      <c r="K234" s="888"/>
      <c r="L234" s="892"/>
      <c r="M234" s="892"/>
      <c r="N234" s="892"/>
      <c r="O234" s="892"/>
      <c r="P234" s="962"/>
      <c r="Q234" s="886"/>
    </row>
    <row r="235" spans="2:17">
      <c r="B235" s="888"/>
      <c r="C235" s="888"/>
      <c r="D235" s="959"/>
      <c r="E235" s="888"/>
      <c r="F235" s="894"/>
      <c r="G235" s="894"/>
      <c r="H235" s="893"/>
      <c r="I235" s="893"/>
      <c r="J235" s="888"/>
      <c r="K235" s="888"/>
      <c r="L235" s="892"/>
      <c r="M235" s="892"/>
      <c r="N235" s="892"/>
      <c r="O235" s="892"/>
      <c r="P235" s="962"/>
      <c r="Q235" s="886"/>
    </row>
    <row r="236" spans="2:17">
      <c r="B236" s="888"/>
      <c r="C236" s="888"/>
      <c r="D236" s="959"/>
      <c r="E236" s="888"/>
      <c r="F236" s="894"/>
      <c r="G236" s="894"/>
      <c r="H236" s="893"/>
      <c r="I236" s="893"/>
      <c r="J236" s="888"/>
      <c r="K236" s="888"/>
      <c r="L236" s="892"/>
      <c r="M236" s="892"/>
      <c r="N236" s="892"/>
      <c r="O236" s="892"/>
      <c r="P236" s="892"/>
      <c r="Q236" s="886"/>
    </row>
    <row r="237" spans="2:17">
      <c r="B237" s="898"/>
      <c r="C237" s="898"/>
      <c r="D237" s="959"/>
      <c r="E237" s="888"/>
      <c r="F237" s="892"/>
      <c r="G237" s="892"/>
      <c r="H237" s="893"/>
      <c r="I237" s="893"/>
      <c r="J237" s="888"/>
      <c r="K237" s="888"/>
      <c r="L237" s="897"/>
      <c r="M237" s="897"/>
      <c r="N237" s="892"/>
      <c r="O237" s="892"/>
      <c r="P237" s="892"/>
      <c r="Q237" s="886"/>
    </row>
    <row r="238" spans="2:17">
      <c r="B238" s="888"/>
      <c r="C238" s="888"/>
      <c r="D238" s="959"/>
      <c r="E238" s="888"/>
      <c r="F238" s="896"/>
      <c r="G238" s="894"/>
      <c r="H238" s="893"/>
      <c r="I238" s="893"/>
      <c r="J238" s="888"/>
      <c r="K238" s="888"/>
      <c r="L238" s="892"/>
      <c r="M238" s="892"/>
      <c r="N238" s="892"/>
      <c r="O238" s="892"/>
      <c r="P238" s="892"/>
      <c r="Q238" s="886"/>
    </row>
    <row r="239" spans="2:17">
      <c r="B239" s="888"/>
      <c r="C239" s="888"/>
      <c r="D239" s="888"/>
      <c r="E239" s="888"/>
      <c r="F239" s="894"/>
      <c r="G239" s="894"/>
      <c r="H239" s="893"/>
      <c r="I239" s="893"/>
      <c r="J239" s="888"/>
      <c r="K239" s="888"/>
      <c r="L239" s="892"/>
      <c r="M239" s="892"/>
      <c r="N239" s="892"/>
      <c r="O239" s="892"/>
      <c r="P239" s="892"/>
      <c r="Q239" s="886"/>
    </row>
    <row r="240" spans="2:17">
      <c r="B240" s="888"/>
      <c r="C240" s="888"/>
      <c r="D240" s="888"/>
      <c r="E240" s="888"/>
      <c r="F240" s="894"/>
      <c r="G240" s="894"/>
      <c r="H240" s="893"/>
      <c r="I240" s="893"/>
      <c r="J240" s="888"/>
      <c r="K240" s="888"/>
      <c r="L240" s="892"/>
      <c r="M240" s="892"/>
      <c r="N240" s="892"/>
      <c r="O240" s="892"/>
      <c r="P240" s="892"/>
      <c r="Q240" s="886"/>
    </row>
    <row r="241" spans="2:17">
      <c r="B241" s="888"/>
      <c r="C241" s="888"/>
      <c r="D241" s="888"/>
      <c r="E241" s="888"/>
      <c r="F241" s="894"/>
      <c r="G241" s="894"/>
      <c r="H241" s="893"/>
      <c r="I241" s="893"/>
      <c r="J241" s="888"/>
      <c r="K241" s="888"/>
      <c r="L241" s="892"/>
      <c r="M241" s="892"/>
      <c r="N241" s="892"/>
      <c r="O241" s="892"/>
      <c r="P241" s="892"/>
      <c r="Q241" s="886"/>
    </row>
    <row r="242" spans="2:17">
      <c r="B242" s="888"/>
      <c r="C242" s="888"/>
      <c r="D242" s="958"/>
      <c r="E242" s="888"/>
      <c r="F242" s="894"/>
      <c r="G242" s="894"/>
      <c r="H242" s="893"/>
      <c r="I242" s="893"/>
      <c r="J242" s="888"/>
      <c r="K242" s="888"/>
      <c r="L242" s="892"/>
      <c r="M242" s="892"/>
      <c r="N242" s="892"/>
      <c r="O242" s="892"/>
      <c r="P242" s="892"/>
      <c r="Q242" s="886"/>
    </row>
    <row r="243" spans="2:17">
      <c r="B243" s="888"/>
      <c r="C243" s="888"/>
      <c r="D243" s="958"/>
      <c r="E243" s="888"/>
      <c r="F243" s="894"/>
      <c r="G243" s="894"/>
      <c r="H243" s="893"/>
      <c r="I243" s="893"/>
      <c r="J243" s="888"/>
      <c r="K243" s="888"/>
      <c r="L243" s="892"/>
      <c r="M243" s="892"/>
      <c r="N243" s="892"/>
      <c r="O243" s="892"/>
      <c r="P243" s="892"/>
      <c r="Q243" s="886"/>
    </row>
    <row r="244" spans="2:17">
      <c r="B244" s="888"/>
      <c r="C244" s="888"/>
      <c r="D244" s="958"/>
      <c r="E244" s="888"/>
      <c r="F244" s="894"/>
      <c r="G244" s="894"/>
      <c r="H244" s="893"/>
      <c r="I244" s="893"/>
      <c r="J244" s="888"/>
      <c r="K244" s="888"/>
      <c r="L244" s="892"/>
      <c r="M244" s="892"/>
      <c r="N244" s="892"/>
      <c r="O244" s="892"/>
      <c r="P244" s="892"/>
      <c r="Q244" s="886"/>
    </row>
    <row r="245" spans="2:17">
      <c r="B245" s="888"/>
      <c r="C245" s="888"/>
      <c r="D245" s="958"/>
      <c r="E245" s="888"/>
      <c r="F245" s="894"/>
      <c r="G245" s="894"/>
      <c r="H245" s="893"/>
      <c r="I245" s="893"/>
      <c r="J245" s="888"/>
      <c r="K245" s="888"/>
      <c r="L245" s="892"/>
      <c r="M245" s="892"/>
      <c r="N245" s="892"/>
      <c r="O245" s="892"/>
      <c r="P245" s="892"/>
      <c r="Q245" s="886"/>
    </row>
    <row r="246" spans="2:17">
      <c r="B246" s="888"/>
      <c r="C246" s="888"/>
      <c r="D246" s="958"/>
      <c r="E246" s="888"/>
      <c r="F246" s="894"/>
      <c r="G246" s="894"/>
      <c r="H246" s="893"/>
      <c r="I246" s="893"/>
      <c r="J246" s="888"/>
      <c r="K246" s="888"/>
      <c r="L246" s="892"/>
      <c r="M246" s="892"/>
      <c r="N246" s="892"/>
      <c r="O246" s="892"/>
      <c r="P246" s="892"/>
      <c r="Q246" s="886"/>
    </row>
    <row r="247" spans="2:17">
      <c r="B247" s="888"/>
      <c r="C247" s="888"/>
      <c r="D247" s="958"/>
      <c r="E247" s="888"/>
      <c r="F247" s="894"/>
      <c r="G247" s="894"/>
      <c r="H247" s="893"/>
      <c r="I247" s="893"/>
      <c r="J247" s="888"/>
      <c r="K247" s="888"/>
      <c r="L247" s="892"/>
      <c r="M247" s="892"/>
      <c r="N247" s="892"/>
      <c r="O247" s="892"/>
      <c r="P247" s="892"/>
      <c r="Q247" s="886"/>
    </row>
    <row r="248" spans="2:17">
      <c r="B248" s="888"/>
      <c r="C248" s="888"/>
      <c r="D248" s="958"/>
      <c r="E248" s="888"/>
      <c r="F248" s="894"/>
      <c r="G248" s="894"/>
      <c r="H248" s="893"/>
      <c r="I248" s="893"/>
      <c r="J248" s="888"/>
      <c r="K248" s="888"/>
      <c r="L248" s="892"/>
      <c r="M248" s="892"/>
      <c r="N248" s="892"/>
      <c r="O248" s="892"/>
      <c r="P248" s="892"/>
      <c r="Q248" s="886"/>
    </row>
    <row r="249" spans="2:17">
      <c r="B249" s="888"/>
      <c r="C249" s="888"/>
      <c r="D249" s="958"/>
      <c r="E249" s="888"/>
      <c r="F249" s="894"/>
      <c r="G249" s="894"/>
      <c r="H249" s="893"/>
      <c r="I249" s="893"/>
      <c r="J249" s="888"/>
      <c r="K249" s="888"/>
      <c r="L249" s="892"/>
      <c r="M249" s="892"/>
      <c r="N249" s="892"/>
      <c r="O249" s="892"/>
      <c r="P249" s="892"/>
      <c r="Q249" s="886"/>
    </row>
    <row r="250" spans="2:17">
      <c r="B250" s="888"/>
      <c r="C250" s="888"/>
      <c r="D250" s="958"/>
      <c r="E250" s="888"/>
      <c r="F250" s="894"/>
      <c r="G250" s="894"/>
      <c r="H250" s="893"/>
      <c r="I250" s="893"/>
      <c r="J250" s="888"/>
      <c r="K250" s="888"/>
      <c r="L250" s="892"/>
      <c r="M250" s="892"/>
      <c r="N250" s="892"/>
      <c r="O250" s="892"/>
      <c r="P250" s="892"/>
      <c r="Q250" s="886"/>
    </row>
    <row r="251" spans="2:17">
      <c r="B251" s="886"/>
      <c r="C251" s="886"/>
      <c r="D251" s="958"/>
      <c r="E251" s="886"/>
      <c r="F251" s="886"/>
      <c r="G251" s="886"/>
      <c r="H251" s="886"/>
      <c r="I251" s="886"/>
      <c r="J251" s="886"/>
      <c r="K251" s="886"/>
      <c r="L251" s="886"/>
      <c r="M251" s="886"/>
      <c r="N251" s="886"/>
      <c r="O251" s="886"/>
      <c r="P251" s="886"/>
      <c r="Q251" s="886"/>
    </row>
    <row r="252" spans="2:17">
      <c r="B252" s="888"/>
      <c r="C252" s="888"/>
      <c r="D252" s="958"/>
      <c r="E252" s="886"/>
      <c r="F252" s="886"/>
      <c r="G252" s="886"/>
      <c r="H252" s="886"/>
      <c r="I252" s="886"/>
      <c r="J252" s="886"/>
      <c r="K252" s="886"/>
      <c r="L252" s="886"/>
      <c r="M252" s="886"/>
      <c r="N252" s="887"/>
      <c r="O252" s="886"/>
      <c r="P252" s="886"/>
      <c r="Q252" s="886"/>
    </row>
    <row r="253" spans="2:17">
      <c r="B253" s="888"/>
      <c r="C253" s="888"/>
      <c r="D253" s="886"/>
      <c r="E253" s="886"/>
      <c r="F253" s="886"/>
      <c r="G253" s="886"/>
      <c r="H253" s="886"/>
      <c r="I253" s="886"/>
      <c r="J253" s="886"/>
      <c r="K253" s="886"/>
      <c r="L253" s="886"/>
      <c r="M253" s="886"/>
      <c r="N253" s="887"/>
      <c r="O253" s="886"/>
      <c r="P253" s="886"/>
      <c r="Q253" s="886"/>
    </row>
    <row r="254" spans="2:17">
      <c r="B254" s="888"/>
      <c r="C254" s="888"/>
      <c r="D254" s="886"/>
      <c r="E254" s="886"/>
      <c r="F254" s="886"/>
      <c r="G254" s="886"/>
      <c r="H254" s="886"/>
      <c r="I254" s="886"/>
      <c r="J254" s="886"/>
      <c r="K254" s="886"/>
      <c r="L254" s="886"/>
      <c r="M254" s="886"/>
      <c r="N254" s="887"/>
      <c r="O254" s="886"/>
      <c r="P254" s="886"/>
      <c r="Q254" s="886"/>
    </row>
    <row r="255" spans="2:17">
      <c r="B255" s="915"/>
      <c r="C255" s="915"/>
      <c r="D255" s="915"/>
      <c r="E255" s="915"/>
      <c r="F255" s="915"/>
      <c r="G255" s="915"/>
      <c r="H255" s="915"/>
      <c r="I255" s="915"/>
      <c r="J255" s="915"/>
      <c r="K255" s="915"/>
      <c r="L255" s="915"/>
      <c r="M255" s="915"/>
      <c r="N255" s="915"/>
      <c r="O255" s="915"/>
      <c r="P255" s="915"/>
      <c r="Q255" s="886"/>
    </row>
    <row r="256" spans="2:17">
      <c r="B256" s="915"/>
      <c r="C256" s="915"/>
      <c r="D256" s="915"/>
      <c r="E256" s="915"/>
      <c r="F256" s="915"/>
      <c r="G256" s="915"/>
      <c r="H256" s="915"/>
      <c r="I256" s="915"/>
      <c r="J256" s="915"/>
      <c r="K256" s="915"/>
      <c r="L256" s="915"/>
      <c r="M256" s="915"/>
      <c r="N256" s="915"/>
      <c r="O256" s="915"/>
      <c r="P256" s="915"/>
      <c r="Q256" s="886"/>
    </row>
    <row r="257" spans="2:17">
      <c r="B257" s="915"/>
      <c r="C257" s="915"/>
      <c r="D257" s="915"/>
      <c r="E257" s="915"/>
      <c r="F257" s="915"/>
      <c r="G257" s="915"/>
      <c r="H257" s="915"/>
      <c r="I257" s="915"/>
      <c r="J257" s="915"/>
      <c r="K257" s="915"/>
      <c r="L257" s="915"/>
      <c r="M257" s="915"/>
      <c r="N257" s="915"/>
      <c r="O257" s="915"/>
      <c r="P257" s="915"/>
      <c r="Q257" s="886"/>
    </row>
    <row r="258" spans="2:17">
      <c r="B258" s="915"/>
      <c r="C258" s="915"/>
      <c r="D258" s="915"/>
      <c r="E258" s="915"/>
      <c r="F258" s="915"/>
      <c r="G258" s="915"/>
      <c r="H258" s="915"/>
      <c r="I258" s="915"/>
      <c r="J258" s="915"/>
      <c r="K258" s="915"/>
      <c r="L258" s="915"/>
      <c r="M258" s="915"/>
      <c r="N258" s="915"/>
      <c r="O258" s="915"/>
      <c r="P258" s="915"/>
      <c r="Q258" s="886"/>
    </row>
    <row r="259" spans="2:17">
      <c r="B259" s="915"/>
      <c r="C259" s="915"/>
      <c r="D259" s="915"/>
      <c r="E259" s="915"/>
      <c r="F259" s="915"/>
      <c r="G259" s="915"/>
      <c r="H259" s="915"/>
      <c r="I259" s="915"/>
      <c r="J259" s="915"/>
      <c r="K259" s="915"/>
      <c r="L259" s="915"/>
      <c r="M259" s="915"/>
      <c r="N259" s="915"/>
      <c r="O259" s="915"/>
      <c r="P259" s="915"/>
      <c r="Q259" s="886"/>
    </row>
    <row r="260" spans="2:17">
      <c r="B260" s="915"/>
      <c r="C260" s="915"/>
      <c r="D260" s="915"/>
      <c r="E260" s="915"/>
      <c r="F260" s="915"/>
      <c r="G260" s="915"/>
      <c r="H260" s="915"/>
      <c r="I260" s="915"/>
      <c r="J260" s="915"/>
      <c r="K260" s="915"/>
      <c r="L260" s="915"/>
      <c r="M260" s="915"/>
      <c r="N260" s="915"/>
      <c r="O260" s="915"/>
      <c r="P260" s="915"/>
      <c r="Q260" s="886"/>
    </row>
    <row r="261" spans="2:17">
      <c r="B261" s="915"/>
      <c r="C261" s="915"/>
      <c r="D261" s="915"/>
      <c r="E261" s="915"/>
      <c r="F261" s="915"/>
      <c r="G261" s="915"/>
      <c r="H261" s="915"/>
      <c r="I261" s="915"/>
      <c r="J261" s="915"/>
      <c r="K261" s="915"/>
      <c r="L261" s="915"/>
      <c r="M261" s="915"/>
      <c r="N261" s="915"/>
      <c r="O261" s="915"/>
      <c r="P261" s="915"/>
      <c r="Q261" s="886"/>
    </row>
    <row r="262" spans="2:17">
      <c r="B262" s="915"/>
      <c r="C262" s="915"/>
      <c r="D262" s="915"/>
      <c r="E262" s="915"/>
      <c r="F262" s="915"/>
      <c r="G262" s="915"/>
      <c r="H262" s="915"/>
      <c r="I262" s="915"/>
      <c r="J262" s="915"/>
      <c r="K262" s="915"/>
      <c r="L262" s="915"/>
      <c r="M262" s="915"/>
      <c r="N262" s="915"/>
      <c r="O262" s="915"/>
      <c r="P262" s="915"/>
      <c r="Q262" s="886"/>
    </row>
    <row r="263" spans="2:17">
      <c r="B263" s="915"/>
      <c r="C263" s="915"/>
      <c r="D263" s="915"/>
      <c r="E263" s="915"/>
      <c r="F263" s="915"/>
      <c r="G263" s="915"/>
      <c r="H263" s="915"/>
      <c r="I263" s="915"/>
      <c r="J263" s="915"/>
      <c r="K263" s="915"/>
      <c r="L263" s="915"/>
      <c r="M263" s="915"/>
      <c r="N263" s="915"/>
      <c r="O263" s="915"/>
      <c r="P263" s="915"/>
      <c r="Q263" s="886"/>
    </row>
    <row r="264" spans="2:17">
      <c r="B264" s="915"/>
      <c r="C264" s="915"/>
      <c r="D264" s="915"/>
      <c r="E264" s="915"/>
      <c r="F264" s="915"/>
      <c r="G264" s="915"/>
      <c r="H264" s="915"/>
      <c r="I264" s="915"/>
      <c r="J264" s="915"/>
      <c r="K264" s="915"/>
      <c r="L264" s="915"/>
      <c r="M264" s="915"/>
      <c r="N264" s="915"/>
      <c r="O264" s="915"/>
      <c r="P264" s="915"/>
      <c r="Q264" s="886"/>
    </row>
    <row r="265" spans="2:17">
      <c r="B265" s="915"/>
      <c r="C265" s="915"/>
      <c r="D265" s="915"/>
      <c r="E265" s="915"/>
      <c r="F265" s="915"/>
      <c r="G265" s="915"/>
      <c r="H265" s="915"/>
      <c r="I265" s="915"/>
      <c r="J265" s="915"/>
      <c r="K265" s="915"/>
      <c r="L265" s="915"/>
      <c r="M265" s="915"/>
      <c r="N265" s="915"/>
      <c r="O265" s="915"/>
      <c r="P265" s="915"/>
      <c r="Q265" s="886"/>
    </row>
    <row r="266" spans="2:17">
      <c r="B266" s="915"/>
      <c r="C266" s="915"/>
      <c r="D266" s="915"/>
      <c r="E266" s="915"/>
      <c r="F266" s="915"/>
      <c r="G266" s="915"/>
      <c r="H266" s="915"/>
      <c r="I266" s="915"/>
      <c r="J266" s="915"/>
      <c r="K266" s="915"/>
      <c r="L266" s="915"/>
      <c r="M266" s="915"/>
      <c r="N266" s="915"/>
      <c r="O266" s="915"/>
      <c r="P266" s="915"/>
      <c r="Q266" s="886"/>
    </row>
    <row r="267" spans="2:17">
      <c r="B267" s="915"/>
      <c r="C267" s="915"/>
      <c r="D267" s="915"/>
      <c r="E267" s="915"/>
      <c r="F267" s="915"/>
      <c r="G267" s="915"/>
      <c r="H267" s="915"/>
      <c r="I267" s="915"/>
      <c r="J267" s="915"/>
      <c r="K267" s="915"/>
      <c r="L267" s="915"/>
      <c r="M267" s="915"/>
      <c r="N267" s="915"/>
      <c r="O267" s="915"/>
      <c r="P267" s="915"/>
      <c r="Q267" s="886"/>
    </row>
    <row r="268" spans="2:17">
      <c r="B268" s="915"/>
      <c r="C268" s="915"/>
      <c r="D268" s="915"/>
      <c r="E268" s="915"/>
      <c r="F268" s="915"/>
      <c r="G268" s="915"/>
      <c r="H268" s="915"/>
      <c r="I268" s="915"/>
      <c r="J268" s="915"/>
      <c r="K268" s="915"/>
      <c r="L268" s="915"/>
      <c r="M268" s="915"/>
      <c r="N268" s="915"/>
      <c r="O268" s="915"/>
      <c r="P268" s="915"/>
      <c r="Q268" s="886"/>
    </row>
    <row r="269" spans="2:17">
      <c r="B269" s="915"/>
      <c r="C269" s="915"/>
      <c r="D269" s="915"/>
      <c r="E269" s="915"/>
      <c r="F269" s="915"/>
      <c r="G269" s="915"/>
      <c r="H269" s="915"/>
      <c r="I269" s="915"/>
      <c r="J269" s="915"/>
      <c r="K269" s="915"/>
      <c r="L269" s="915"/>
      <c r="M269" s="915"/>
      <c r="N269" s="915"/>
      <c r="O269" s="915"/>
      <c r="P269" s="915"/>
      <c r="Q269" s="886"/>
    </row>
    <row r="270" spans="2:17">
      <c r="B270" s="915"/>
      <c r="C270" s="915"/>
      <c r="D270" s="915"/>
      <c r="E270" s="915"/>
      <c r="F270" s="915"/>
      <c r="G270" s="915"/>
      <c r="H270" s="915"/>
      <c r="I270" s="915"/>
      <c r="J270" s="915"/>
      <c r="K270" s="915"/>
      <c r="L270" s="915"/>
      <c r="M270" s="915"/>
      <c r="N270" s="915"/>
      <c r="O270" s="915"/>
      <c r="P270" s="915"/>
      <c r="Q270" s="886"/>
    </row>
    <row r="271" spans="2:17">
      <c r="B271" s="915"/>
      <c r="C271" s="915"/>
      <c r="D271" s="915"/>
      <c r="E271" s="915"/>
      <c r="F271" s="915"/>
      <c r="G271" s="915"/>
      <c r="H271" s="915"/>
      <c r="I271" s="915"/>
      <c r="J271" s="915"/>
      <c r="K271" s="915"/>
      <c r="L271" s="915"/>
      <c r="M271" s="915"/>
      <c r="N271" s="915"/>
      <c r="O271" s="915"/>
      <c r="P271" s="915"/>
      <c r="Q271" s="886"/>
    </row>
    <row r="272" spans="2:17">
      <c r="B272" s="915"/>
      <c r="C272" s="915"/>
      <c r="D272" s="915"/>
      <c r="E272" s="915"/>
      <c r="F272" s="915"/>
      <c r="G272" s="915"/>
      <c r="H272" s="915"/>
      <c r="I272" s="915"/>
      <c r="J272" s="915"/>
      <c r="K272" s="915"/>
      <c r="L272" s="915"/>
      <c r="M272" s="915"/>
      <c r="N272" s="915"/>
      <c r="O272" s="915"/>
      <c r="P272" s="915"/>
      <c r="Q272" s="886"/>
    </row>
    <row r="273" spans="2:17">
      <c r="B273" s="915"/>
      <c r="C273" s="915"/>
      <c r="D273" s="915"/>
      <c r="E273" s="915"/>
      <c r="F273" s="915"/>
      <c r="G273" s="915"/>
      <c r="H273" s="915"/>
      <c r="I273" s="915"/>
      <c r="J273" s="915"/>
      <c r="K273" s="915"/>
      <c r="L273" s="915"/>
      <c r="M273" s="915"/>
      <c r="N273" s="915"/>
      <c r="O273" s="915"/>
      <c r="P273" s="915"/>
      <c r="Q273" s="886"/>
    </row>
    <row r="274" spans="2:17">
      <c r="B274" s="915"/>
      <c r="C274" s="915"/>
      <c r="D274" s="915"/>
      <c r="E274" s="915"/>
      <c r="F274" s="915"/>
      <c r="G274" s="915"/>
      <c r="H274" s="915"/>
      <c r="I274" s="915"/>
      <c r="J274" s="915"/>
      <c r="K274" s="915"/>
      <c r="L274" s="915"/>
      <c r="M274" s="915"/>
      <c r="N274" s="915"/>
      <c r="O274" s="915"/>
      <c r="P274" s="915"/>
      <c r="Q274" s="886"/>
    </row>
    <row r="275" spans="2:17">
      <c r="B275" s="915"/>
      <c r="C275" s="915"/>
      <c r="D275" s="915"/>
      <c r="E275" s="915"/>
      <c r="F275" s="915"/>
      <c r="G275" s="915"/>
      <c r="H275" s="915"/>
      <c r="I275" s="915"/>
      <c r="J275" s="915"/>
      <c r="K275" s="915"/>
      <c r="L275" s="915"/>
      <c r="M275" s="915"/>
      <c r="N275" s="915"/>
      <c r="O275" s="915"/>
      <c r="P275" s="915"/>
      <c r="Q275" s="886"/>
    </row>
    <row r="276" spans="2:17">
      <c r="B276" s="915"/>
      <c r="C276" s="915"/>
      <c r="D276" s="915"/>
      <c r="E276" s="915"/>
      <c r="F276" s="915"/>
      <c r="G276" s="915"/>
      <c r="H276" s="915"/>
      <c r="I276" s="915"/>
      <c r="J276" s="915"/>
      <c r="K276" s="915"/>
      <c r="L276" s="915"/>
      <c r="M276" s="915"/>
      <c r="N276" s="915"/>
      <c r="O276" s="915"/>
      <c r="P276" s="915"/>
      <c r="Q276" s="886"/>
    </row>
    <row r="277" spans="2:17">
      <c r="B277" s="915"/>
      <c r="C277" s="915"/>
      <c r="D277" s="915"/>
      <c r="E277" s="915"/>
      <c r="F277" s="915"/>
      <c r="G277" s="915"/>
      <c r="H277" s="915"/>
      <c r="I277" s="915"/>
      <c r="J277" s="915"/>
      <c r="K277" s="915"/>
      <c r="L277" s="915"/>
      <c r="M277" s="915"/>
      <c r="N277" s="915"/>
      <c r="O277" s="915"/>
      <c r="P277" s="915"/>
      <c r="Q277" s="886"/>
    </row>
    <row r="278" spans="2:17">
      <c r="B278" s="915"/>
      <c r="C278" s="915"/>
      <c r="D278" s="915"/>
      <c r="E278" s="915"/>
      <c r="F278" s="915"/>
      <c r="G278" s="915"/>
      <c r="H278" s="915"/>
      <c r="I278" s="915"/>
      <c r="J278" s="915"/>
      <c r="K278" s="915"/>
      <c r="L278" s="915"/>
      <c r="M278" s="915"/>
      <c r="N278" s="915"/>
      <c r="O278" s="915"/>
      <c r="P278" s="915"/>
      <c r="Q278" s="886"/>
    </row>
    <row r="279" spans="2:17">
      <c r="B279" s="915"/>
      <c r="C279" s="915"/>
      <c r="D279" s="915"/>
      <c r="E279" s="915"/>
      <c r="F279" s="915"/>
      <c r="G279" s="915"/>
      <c r="H279" s="915"/>
      <c r="I279" s="915"/>
      <c r="J279" s="915"/>
      <c r="K279" s="915"/>
      <c r="L279" s="915"/>
      <c r="M279" s="915"/>
      <c r="N279" s="915"/>
      <c r="O279" s="915"/>
      <c r="P279" s="915"/>
      <c r="Q279" s="886"/>
    </row>
    <row r="280" spans="2:17">
      <c r="B280" s="915"/>
      <c r="C280" s="915"/>
      <c r="D280" s="915"/>
      <c r="E280" s="915"/>
      <c r="F280" s="915"/>
      <c r="G280" s="915"/>
      <c r="H280" s="915"/>
      <c r="I280" s="915"/>
      <c r="J280" s="915"/>
      <c r="K280" s="915"/>
      <c r="L280" s="915"/>
      <c r="M280" s="915"/>
      <c r="N280" s="915"/>
      <c r="O280" s="915"/>
      <c r="P280" s="915"/>
      <c r="Q280" s="886"/>
    </row>
    <row r="281" spans="2:17">
      <c r="B281" s="915"/>
      <c r="C281" s="915"/>
      <c r="D281" s="915"/>
      <c r="E281" s="915"/>
      <c r="F281" s="915"/>
      <c r="G281" s="915"/>
      <c r="H281" s="915"/>
      <c r="I281" s="915"/>
      <c r="J281" s="915"/>
      <c r="K281" s="915"/>
      <c r="L281" s="915"/>
      <c r="M281" s="915"/>
      <c r="N281" s="915"/>
      <c r="O281" s="915"/>
      <c r="P281" s="915"/>
      <c r="Q281" s="886"/>
    </row>
    <row r="282" spans="2:17">
      <c r="B282" s="915"/>
      <c r="C282" s="915"/>
      <c r="D282" s="915"/>
      <c r="E282" s="915"/>
      <c r="F282" s="915"/>
      <c r="G282" s="915"/>
      <c r="H282" s="915"/>
      <c r="I282" s="915"/>
      <c r="J282" s="915"/>
      <c r="K282" s="915"/>
      <c r="L282" s="915"/>
      <c r="M282" s="915"/>
      <c r="N282" s="915"/>
      <c r="O282" s="915"/>
      <c r="P282" s="915"/>
      <c r="Q282" s="886"/>
    </row>
    <row r="283" spans="2:17">
      <c r="B283" s="915"/>
      <c r="C283" s="915"/>
      <c r="D283" s="915"/>
      <c r="E283" s="915"/>
      <c r="F283" s="915"/>
      <c r="G283" s="915"/>
      <c r="H283" s="915"/>
      <c r="I283" s="915"/>
      <c r="J283" s="915"/>
      <c r="K283" s="915"/>
      <c r="L283" s="915"/>
      <c r="M283" s="915"/>
      <c r="N283" s="915"/>
      <c r="O283" s="915"/>
      <c r="P283" s="915"/>
      <c r="Q283" s="886"/>
    </row>
    <row r="284" spans="2:17">
      <c r="B284" s="915"/>
      <c r="C284" s="915"/>
      <c r="D284" s="915"/>
      <c r="E284" s="915"/>
      <c r="F284" s="915"/>
      <c r="G284" s="915"/>
      <c r="H284" s="915"/>
      <c r="I284" s="915"/>
      <c r="J284" s="915"/>
      <c r="K284" s="915"/>
      <c r="L284" s="915"/>
      <c r="M284" s="915"/>
      <c r="N284" s="915"/>
      <c r="O284" s="915"/>
      <c r="P284" s="915"/>
      <c r="Q284" s="886"/>
    </row>
    <row r="285" spans="2:17">
      <c r="B285" s="915"/>
      <c r="C285" s="915"/>
      <c r="D285" s="915"/>
      <c r="E285" s="915"/>
      <c r="F285" s="915"/>
      <c r="G285" s="915"/>
      <c r="H285" s="915"/>
      <c r="I285" s="915"/>
      <c r="J285" s="915"/>
      <c r="K285" s="915"/>
      <c r="L285" s="915"/>
      <c r="M285" s="915"/>
      <c r="N285" s="915"/>
      <c r="O285" s="915"/>
      <c r="P285" s="915"/>
      <c r="Q285" s="886"/>
    </row>
    <row r="286" spans="2:17">
      <c r="B286" s="915"/>
      <c r="C286" s="915"/>
      <c r="D286" s="915"/>
      <c r="E286" s="915"/>
      <c r="F286" s="915"/>
      <c r="G286" s="915"/>
      <c r="H286" s="915"/>
      <c r="I286" s="915"/>
      <c r="J286" s="915"/>
      <c r="K286" s="915"/>
      <c r="L286" s="915"/>
      <c r="M286" s="915"/>
      <c r="N286" s="915"/>
      <c r="O286" s="915"/>
      <c r="P286" s="915"/>
      <c r="Q286" s="886"/>
    </row>
    <row r="287" spans="2:17">
      <c r="B287" s="915"/>
      <c r="C287" s="915"/>
      <c r="D287" s="915"/>
      <c r="E287" s="915"/>
      <c r="F287" s="915"/>
      <c r="G287" s="915"/>
      <c r="H287" s="915"/>
      <c r="I287" s="915"/>
      <c r="J287" s="915"/>
      <c r="K287" s="915"/>
      <c r="L287" s="915"/>
      <c r="M287" s="915"/>
      <c r="N287" s="915"/>
      <c r="O287" s="915"/>
      <c r="P287" s="915"/>
      <c r="Q287" s="886"/>
    </row>
    <row r="288" spans="2:17">
      <c r="B288" s="915"/>
      <c r="C288" s="915"/>
      <c r="D288" s="915"/>
      <c r="E288" s="915"/>
      <c r="F288" s="915"/>
      <c r="G288" s="915"/>
      <c r="H288" s="915"/>
      <c r="I288" s="915"/>
      <c r="J288" s="915"/>
      <c r="K288" s="915"/>
      <c r="L288" s="915"/>
      <c r="M288" s="915"/>
      <c r="N288" s="915"/>
      <c r="O288" s="915"/>
      <c r="P288" s="915"/>
      <c r="Q288" s="886"/>
    </row>
    <row r="289" spans="2:17">
      <c r="B289" s="915"/>
      <c r="C289" s="915"/>
      <c r="D289" s="915"/>
      <c r="E289" s="915"/>
      <c r="F289" s="915"/>
      <c r="G289" s="915"/>
      <c r="H289" s="915"/>
      <c r="I289" s="915"/>
      <c r="J289" s="915"/>
      <c r="K289" s="915"/>
      <c r="L289" s="915"/>
      <c r="M289" s="915"/>
      <c r="N289" s="915"/>
      <c r="O289" s="915"/>
      <c r="P289" s="915"/>
      <c r="Q289" s="886"/>
    </row>
    <row r="290" spans="2:17">
      <c r="B290" s="915"/>
      <c r="C290" s="915"/>
      <c r="D290" s="915"/>
      <c r="E290" s="915"/>
      <c r="F290" s="915"/>
      <c r="G290" s="915"/>
      <c r="H290" s="915"/>
      <c r="I290" s="915"/>
      <c r="J290" s="915"/>
      <c r="K290" s="915"/>
      <c r="L290" s="915"/>
      <c r="M290" s="915"/>
      <c r="N290" s="915"/>
      <c r="O290" s="915"/>
      <c r="P290" s="915"/>
      <c r="Q290" s="886"/>
    </row>
    <row r="291" spans="2:17">
      <c r="B291" s="915"/>
      <c r="C291" s="915"/>
      <c r="D291" s="915"/>
      <c r="E291" s="915"/>
      <c r="F291" s="915"/>
      <c r="G291" s="915"/>
      <c r="H291" s="915"/>
      <c r="I291" s="915"/>
      <c r="J291" s="915"/>
      <c r="K291" s="915"/>
      <c r="L291" s="915"/>
      <c r="M291" s="915"/>
      <c r="N291" s="915"/>
      <c r="O291" s="915"/>
      <c r="P291" s="915"/>
      <c r="Q291" s="886"/>
    </row>
    <row r="292" spans="2:17">
      <c r="B292" s="915"/>
      <c r="C292" s="915"/>
      <c r="D292" s="915"/>
      <c r="E292" s="915"/>
      <c r="F292" s="915"/>
      <c r="G292" s="915"/>
      <c r="H292" s="915"/>
      <c r="I292" s="915"/>
      <c r="J292" s="915"/>
      <c r="K292" s="915"/>
      <c r="L292" s="915"/>
      <c r="M292" s="915"/>
      <c r="N292" s="915"/>
      <c r="O292" s="915"/>
      <c r="P292" s="915"/>
      <c r="Q292" s="886"/>
    </row>
    <row r="293" spans="2:17">
      <c r="B293" s="915"/>
      <c r="C293" s="915"/>
      <c r="D293" s="915"/>
      <c r="E293" s="915"/>
      <c r="F293" s="915"/>
      <c r="G293" s="915"/>
      <c r="H293" s="915"/>
      <c r="I293" s="915"/>
      <c r="J293" s="915"/>
      <c r="K293" s="915"/>
      <c r="L293" s="915"/>
      <c r="M293" s="915"/>
      <c r="N293" s="915"/>
      <c r="O293" s="915"/>
      <c r="P293" s="915"/>
      <c r="Q293" s="886"/>
    </row>
    <row r="294" spans="2:17">
      <c r="B294" s="915"/>
      <c r="C294" s="915"/>
      <c r="D294" s="915"/>
      <c r="E294" s="915"/>
      <c r="F294" s="915"/>
      <c r="G294" s="915"/>
      <c r="H294" s="915"/>
      <c r="I294" s="915"/>
      <c r="J294" s="915"/>
      <c r="K294" s="915"/>
      <c r="L294" s="915"/>
      <c r="M294" s="915"/>
      <c r="N294" s="915"/>
      <c r="O294" s="915"/>
      <c r="P294" s="915"/>
      <c r="Q294" s="886"/>
    </row>
    <row r="295" spans="2:17">
      <c r="B295" s="915"/>
      <c r="C295" s="915"/>
      <c r="D295" s="915"/>
      <c r="E295" s="915"/>
      <c r="F295" s="915"/>
      <c r="G295" s="915"/>
      <c r="H295" s="915"/>
      <c r="I295" s="915"/>
      <c r="J295" s="915"/>
      <c r="K295" s="915"/>
      <c r="L295" s="915"/>
      <c r="M295" s="915"/>
      <c r="N295" s="915"/>
      <c r="O295" s="915"/>
      <c r="P295" s="915"/>
      <c r="Q295" s="886"/>
    </row>
    <row r="296" spans="2:17">
      <c r="B296" s="915"/>
      <c r="C296" s="915"/>
      <c r="D296" s="915"/>
      <c r="E296" s="915"/>
      <c r="F296" s="915"/>
      <c r="G296" s="915"/>
      <c r="H296" s="915"/>
      <c r="I296" s="915"/>
      <c r="J296" s="915"/>
      <c r="K296" s="915"/>
      <c r="L296" s="915"/>
      <c r="M296" s="915"/>
      <c r="N296" s="915"/>
      <c r="O296" s="915"/>
      <c r="P296" s="915"/>
      <c r="Q296" s="886"/>
    </row>
    <row r="297" spans="2:17">
      <c r="B297" s="915"/>
      <c r="C297" s="915"/>
      <c r="D297" s="915"/>
      <c r="E297" s="915"/>
      <c r="F297" s="915"/>
      <c r="G297" s="915"/>
      <c r="H297" s="915"/>
      <c r="I297" s="915"/>
      <c r="J297" s="915"/>
      <c r="K297" s="915"/>
      <c r="L297" s="915"/>
      <c r="M297" s="915"/>
      <c r="N297" s="915"/>
      <c r="O297" s="915"/>
      <c r="P297" s="915"/>
      <c r="Q297" s="886"/>
    </row>
    <row r="298" spans="2:17">
      <c r="B298" s="915"/>
      <c r="C298" s="915"/>
      <c r="D298" s="915"/>
      <c r="E298" s="915"/>
      <c r="F298" s="915"/>
      <c r="G298" s="915"/>
      <c r="H298" s="915"/>
      <c r="I298" s="915"/>
      <c r="J298" s="915"/>
      <c r="K298" s="915"/>
      <c r="L298" s="915"/>
      <c r="M298" s="915"/>
      <c r="N298" s="915"/>
      <c r="O298" s="915"/>
      <c r="P298" s="915"/>
      <c r="Q298" s="886"/>
    </row>
    <row r="299" spans="2:17">
      <c r="B299" s="915"/>
      <c r="C299" s="915"/>
      <c r="D299" s="915"/>
      <c r="E299" s="915"/>
      <c r="F299" s="915"/>
      <c r="G299" s="915"/>
      <c r="H299" s="915"/>
      <c r="I299" s="915"/>
      <c r="J299" s="915"/>
      <c r="K299" s="915"/>
      <c r="L299" s="915"/>
      <c r="M299" s="915"/>
      <c r="N299" s="915"/>
      <c r="O299" s="915"/>
      <c r="P299" s="915"/>
      <c r="Q299" s="886"/>
    </row>
    <row r="300" spans="2:17">
      <c r="B300" s="915"/>
      <c r="C300" s="915"/>
      <c r="D300" s="915"/>
      <c r="E300" s="915"/>
      <c r="F300" s="915"/>
      <c r="G300" s="915"/>
      <c r="H300" s="915"/>
      <c r="I300" s="915"/>
      <c r="J300" s="915"/>
      <c r="K300" s="915"/>
      <c r="L300" s="915"/>
      <c r="M300" s="915"/>
      <c r="N300" s="915"/>
      <c r="O300" s="915"/>
      <c r="P300" s="915"/>
      <c r="Q300" s="886"/>
    </row>
    <row r="301" spans="2:17">
      <c r="B301" s="915"/>
      <c r="C301" s="915"/>
      <c r="D301" s="915"/>
      <c r="E301" s="915"/>
      <c r="F301" s="915"/>
      <c r="G301" s="915"/>
      <c r="H301" s="915"/>
      <c r="I301" s="915"/>
      <c r="J301" s="915"/>
      <c r="K301" s="915"/>
      <c r="L301" s="915"/>
      <c r="M301" s="915"/>
      <c r="N301" s="915"/>
      <c r="O301" s="915"/>
      <c r="P301" s="915"/>
      <c r="Q301" s="886"/>
    </row>
    <row r="302" spans="2:17">
      <c r="B302" s="915"/>
      <c r="C302" s="915"/>
      <c r="D302" s="915"/>
      <c r="E302" s="915"/>
      <c r="F302" s="915"/>
      <c r="G302" s="915"/>
      <c r="H302" s="915"/>
      <c r="I302" s="915"/>
      <c r="J302" s="915"/>
      <c r="K302" s="915"/>
      <c r="L302" s="915"/>
      <c r="M302" s="915"/>
      <c r="N302" s="915"/>
      <c r="O302" s="915"/>
      <c r="P302" s="915"/>
      <c r="Q302" s="886"/>
    </row>
    <row r="303" spans="2:17">
      <c r="B303" s="915"/>
      <c r="C303" s="915"/>
      <c r="D303" s="915"/>
      <c r="E303" s="915"/>
      <c r="F303" s="915"/>
      <c r="G303" s="915"/>
      <c r="H303" s="915"/>
      <c r="I303" s="915"/>
      <c r="J303" s="915"/>
      <c r="K303" s="915"/>
      <c r="L303" s="915"/>
      <c r="M303" s="915"/>
      <c r="N303" s="915"/>
      <c r="O303" s="915"/>
      <c r="P303" s="915"/>
      <c r="Q303" s="886"/>
    </row>
    <row r="304" spans="2:17">
      <c r="B304" s="915"/>
      <c r="C304" s="915"/>
      <c r="D304" s="915"/>
      <c r="E304" s="915"/>
      <c r="F304" s="915"/>
      <c r="G304" s="915"/>
      <c r="H304" s="915"/>
      <c r="I304" s="915"/>
      <c r="J304" s="915"/>
      <c r="K304" s="915"/>
      <c r="L304" s="915"/>
      <c r="M304" s="915"/>
      <c r="N304" s="915"/>
      <c r="O304" s="915"/>
      <c r="P304" s="915"/>
      <c r="Q304" s="886"/>
    </row>
    <row r="305" spans="2:17">
      <c r="B305" s="915"/>
      <c r="C305" s="915"/>
      <c r="D305" s="915"/>
      <c r="E305" s="915"/>
      <c r="F305" s="915"/>
      <c r="G305" s="915"/>
      <c r="H305" s="915"/>
      <c r="I305" s="915"/>
      <c r="J305" s="915"/>
      <c r="K305" s="915"/>
      <c r="L305" s="915"/>
      <c r="M305" s="915"/>
      <c r="N305" s="915"/>
      <c r="O305" s="915"/>
      <c r="P305" s="915"/>
      <c r="Q305" s="886"/>
    </row>
    <row r="306" spans="2:17">
      <c r="B306" s="915"/>
      <c r="C306" s="915"/>
      <c r="D306" s="915"/>
      <c r="E306" s="915"/>
      <c r="F306" s="915"/>
      <c r="G306" s="915"/>
      <c r="H306" s="915"/>
      <c r="I306" s="915"/>
      <c r="J306" s="915"/>
      <c r="K306" s="915"/>
      <c r="L306" s="915"/>
      <c r="M306" s="915"/>
      <c r="N306" s="915"/>
      <c r="O306" s="915"/>
      <c r="P306" s="915"/>
      <c r="Q306" s="886"/>
    </row>
    <row r="307" spans="2:17">
      <c r="B307" s="915"/>
      <c r="C307" s="915"/>
      <c r="D307" s="915"/>
      <c r="E307" s="915"/>
      <c r="F307" s="915"/>
      <c r="G307" s="915"/>
      <c r="H307" s="915"/>
      <c r="I307" s="915"/>
      <c r="J307" s="915"/>
      <c r="K307" s="915"/>
      <c r="L307" s="915"/>
      <c r="M307" s="915"/>
      <c r="N307" s="915"/>
      <c r="O307" s="915"/>
      <c r="P307" s="915"/>
      <c r="Q307" s="886"/>
    </row>
    <row r="308" spans="2:17">
      <c r="B308" s="915"/>
      <c r="C308" s="915"/>
      <c r="D308" s="915"/>
      <c r="E308" s="915"/>
      <c r="F308" s="915"/>
      <c r="G308" s="915"/>
      <c r="H308" s="915"/>
      <c r="I308" s="915"/>
      <c r="J308" s="915"/>
      <c r="K308" s="915"/>
      <c r="L308" s="915"/>
      <c r="M308" s="915"/>
      <c r="N308" s="915"/>
      <c r="O308" s="915"/>
      <c r="P308" s="915"/>
      <c r="Q308" s="886"/>
    </row>
    <row r="309" spans="2:17">
      <c r="B309" s="915"/>
      <c r="C309" s="915"/>
      <c r="D309" s="915"/>
      <c r="E309" s="915"/>
      <c r="F309" s="915"/>
      <c r="G309" s="915"/>
      <c r="H309" s="915"/>
      <c r="I309" s="915"/>
      <c r="J309" s="915"/>
      <c r="K309" s="915"/>
      <c r="L309" s="915"/>
      <c r="M309" s="915"/>
      <c r="N309" s="915"/>
      <c r="O309" s="915"/>
      <c r="P309" s="915"/>
      <c r="Q309" s="886"/>
    </row>
    <row r="310" spans="2:17">
      <c r="B310" s="915"/>
      <c r="C310" s="915"/>
      <c r="D310" s="915"/>
      <c r="E310" s="915"/>
      <c r="F310" s="915"/>
      <c r="G310" s="915"/>
      <c r="H310" s="915"/>
      <c r="I310" s="915"/>
      <c r="J310" s="915"/>
      <c r="K310" s="915"/>
      <c r="L310" s="915"/>
      <c r="M310" s="915"/>
      <c r="N310" s="915"/>
      <c r="O310" s="915"/>
      <c r="P310" s="915"/>
      <c r="Q310" s="886"/>
    </row>
    <row r="311" spans="2:17">
      <c r="B311" s="915"/>
      <c r="C311" s="915"/>
      <c r="D311" s="915"/>
      <c r="E311" s="915"/>
      <c r="F311" s="915"/>
      <c r="G311" s="915"/>
      <c r="H311" s="915"/>
      <c r="I311" s="915"/>
      <c r="J311" s="915"/>
      <c r="K311" s="915"/>
      <c r="L311" s="915"/>
      <c r="M311" s="915"/>
      <c r="N311" s="915"/>
      <c r="O311" s="915"/>
      <c r="P311" s="915"/>
      <c r="Q311" s="886"/>
    </row>
    <row r="312" spans="2:17">
      <c r="B312" s="915"/>
      <c r="C312" s="915"/>
      <c r="D312" s="915"/>
      <c r="E312" s="915"/>
      <c r="F312" s="915"/>
      <c r="G312" s="915"/>
      <c r="H312" s="915"/>
      <c r="I312" s="915"/>
      <c r="J312" s="915"/>
      <c r="K312" s="915"/>
      <c r="L312" s="915"/>
      <c r="M312" s="915"/>
      <c r="N312" s="915"/>
      <c r="O312" s="915"/>
      <c r="P312" s="915"/>
      <c r="Q312" s="886"/>
    </row>
    <row r="313" spans="2:17">
      <c r="B313" s="915"/>
      <c r="C313" s="915"/>
      <c r="D313" s="915"/>
      <c r="E313" s="915"/>
      <c r="F313" s="915"/>
      <c r="G313" s="915"/>
      <c r="H313" s="915"/>
      <c r="I313" s="915"/>
      <c r="J313" s="915"/>
      <c r="K313" s="915"/>
      <c r="L313" s="915"/>
      <c r="M313" s="915"/>
      <c r="N313" s="915"/>
      <c r="O313" s="915"/>
      <c r="P313" s="915"/>
      <c r="Q313" s="886"/>
    </row>
    <row r="314" spans="2:17">
      <c r="B314" s="915"/>
      <c r="C314" s="915"/>
      <c r="D314" s="915"/>
      <c r="E314" s="915"/>
      <c r="F314" s="915"/>
      <c r="G314" s="915"/>
      <c r="H314" s="915"/>
      <c r="I314" s="915"/>
      <c r="J314" s="915"/>
      <c r="K314" s="915"/>
      <c r="L314" s="915"/>
      <c r="M314" s="915"/>
      <c r="N314" s="915"/>
      <c r="O314" s="915"/>
      <c r="P314" s="915"/>
      <c r="Q314" s="886"/>
    </row>
    <row r="315" spans="2:17">
      <c r="B315" s="915"/>
      <c r="C315" s="915"/>
      <c r="D315" s="915"/>
      <c r="E315" s="915"/>
      <c r="F315" s="915"/>
      <c r="G315" s="915"/>
      <c r="H315" s="915"/>
      <c r="I315" s="915"/>
      <c r="J315" s="915"/>
      <c r="K315" s="915"/>
      <c r="L315" s="915"/>
      <c r="M315" s="915"/>
      <c r="N315" s="915"/>
      <c r="O315" s="915"/>
      <c r="P315" s="915"/>
      <c r="Q315" s="886"/>
    </row>
    <row r="316" spans="2:17">
      <c r="B316" s="915"/>
      <c r="C316" s="915"/>
      <c r="D316" s="915"/>
      <c r="E316" s="915"/>
      <c r="F316" s="915"/>
      <c r="G316" s="915"/>
      <c r="H316" s="915"/>
      <c r="I316" s="915"/>
      <c r="J316" s="915"/>
      <c r="K316" s="915"/>
      <c r="L316" s="915"/>
      <c r="M316" s="915"/>
      <c r="N316" s="915"/>
      <c r="O316" s="915"/>
      <c r="P316" s="915"/>
      <c r="Q316" s="886"/>
    </row>
    <row r="317" spans="2:17">
      <c r="B317" s="915"/>
      <c r="C317" s="915"/>
      <c r="D317" s="915"/>
      <c r="E317" s="915"/>
      <c r="F317" s="915"/>
      <c r="G317" s="915"/>
      <c r="H317" s="915"/>
      <c r="I317" s="915"/>
      <c r="J317" s="915"/>
      <c r="K317" s="915"/>
      <c r="L317" s="915"/>
      <c r="M317" s="915"/>
      <c r="N317" s="915"/>
      <c r="O317" s="915"/>
      <c r="P317" s="915"/>
      <c r="Q317" s="886"/>
    </row>
    <row r="318" spans="2:17">
      <c r="B318" s="915"/>
      <c r="C318" s="915"/>
      <c r="D318" s="915"/>
      <c r="E318" s="915"/>
      <c r="F318" s="915"/>
      <c r="G318" s="915"/>
      <c r="H318" s="915"/>
      <c r="I318" s="915"/>
      <c r="J318" s="915"/>
      <c r="K318" s="915"/>
      <c r="L318" s="915"/>
      <c r="M318" s="915"/>
      <c r="N318" s="915"/>
      <c r="O318" s="915"/>
      <c r="P318" s="915"/>
      <c r="Q318" s="886"/>
    </row>
    <row r="319" spans="2:17">
      <c r="B319" s="915"/>
      <c r="C319" s="915"/>
      <c r="D319" s="915"/>
      <c r="E319" s="915"/>
      <c r="F319" s="915"/>
      <c r="G319" s="915"/>
      <c r="H319" s="915"/>
      <c r="I319" s="915"/>
      <c r="J319" s="915"/>
      <c r="K319" s="915"/>
      <c r="L319" s="915"/>
      <c r="M319" s="915"/>
      <c r="N319" s="915"/>
      <c r="O319" s="915"/>
      <c r="P319" s="915"/>
      <c r="Q319" s="886"/>
    </row>
    <row r="320" spans="2:17">
      <c r="B320" s="915"/>
      <c r="C320" s="915"/>
      <c r="D320" s="915"/>
      <c r="E320" s="915"/>
      <c r="F320" s="915"/>
      <c r="G320" s="915"/>
      <c r="H320" s="915"/>
      <c r="I320" s="915"/>
      <c r="J320" s="915"/>
      <c r="K320" s="915"/>
      <c r="L320" s="915"/>
      <c r="M320" s="915"/>
      <c r="N320" s="915"/>
      <c r="O320" s="915"/>
      <c r="P320" s="915"/>
      <c r="Q320" s="886"/>
    </row>
    <row r="321" spans="2:17">
      <c r="B321" s="915"/>
      <c r="C321" s="915"/>
      <c r="D321" s="915"/>
      <c r="E321" s="915"/>
      <c r="F321" s="915"/>
      <c r="G321" s="915"/>
      <c r="H321" s="915"/>
      <c r="I321" s="915"/>
      <c r="J321" s="915"/>
      <c r="K321" s="915"/>
      <c r="L321" s="915"/>
      <c r="M321" s="915"/>
      <c r="N321" s="915"/>
      <c r="O321" s="915"/>
      <c r="P321" s="915"/>
      <c r="Q321" s="886"/>
    </row>
    <row r="322" spans="2:17">
      <c r="B322" s="915"/>
      <c r="C322" s="915"/>
      <c r="D322" s="915"/>
      <c r="E322" s="915"/>
      <c r="F322" s="915"/>
      <c r="G322" s="915"/>
      <c r="H322" s="915"/>
      <c r="I322" s="915"/>
      <c r="J322" s="915"/>
      <c r="K322" s="915"/>
      <c r="L322" s="915"/>
      <c r="M322" s="915"/>
      <c r="N322" s="915"/>
      <c r="O322" s="915"/>
      <c r="P322" s="915"/>
      <c r="Q322" s="886"/>
    </row>
    <row r="323" spans="2:17">
      <c r="B323" s="915"/>
      <c r="C323" s="915"/>
      <c r="D323" s="915"/>
      <c r="E323" s="915"/>
      <c r="F323" s="915"/>
      <c r="G323" s="915"/>
      <c r="H323" s="915"/>
      <c r="I323" s="915"/>
      <c r="J323" s="915"/>
      <c r="K323" s="915"/>
      <c r="L323" s="915"/>
      <c r="M323" s="915"/>
      <c r="N323" s="915"/>
      <c r="O323" s="915"/>
      <c r="P323" s="915"/>
      <c r="Q323" s="886"/>
    </row>
    <row r="324" spans="2:17">
      <c r="B324" s="915"/>
      <c r="C324" s="915"/>
      <c r="D324" s="915"/>
      <c r="E324" s="915"/>
      <c r="F324" s="915"/>
      <c r="G324" s="915"/>
      <c r="H324" s="915"/>
      <c r="I324" s="915"/>
      <c r="J324" s="915"/>
      <c r="K324" s="915"/>
      <c r="L324" s="915"/>
      <c r="M324" s="915"/>
      <c r="N324" s="915"/>
      <c r="O324" s="915"/>
      <c r="P324" s="915"/>
      <c r="Q324" s="886"/>
    </row>
    <row r="325" spans="2:17">
      <c r="B325" s="915"/>
      <c r="C325" s="915"/>
      <c r="D325" s="915"/>
      <c r="E325" s="915"/>
      <c r="F325" s="915"/>
      <c r="G325" s="915"/>
      <c r="H325" s="915"/>
      <c r="I325" s="915"/>
      <c r="J325" s="915"/>
      <c r="K325" s="915"/>
      <c r="L325" s="915"/>
      <c r="M325" s="915"/>
      <c r="N325" s="915"/>
      <c r="O325" s="915"/>
      <c r="P325" s="915"/>
      <c r="Q325" s="886"/>
    </row>
    <row r="326" spans="2:17">
      <c r="B326" s="915"/>
      <c r="C326" s="915"/>
      <c r="D326" s="915"/>
      <c r="E326" s="915"/>
      <c r="F326" s="915"/>
      <c r="G326" s="915"/>
      <c r="H326" s="915"/>
      <c r="I326" s="915"/>
      <c r="J326" s="915"/>
      <c r="K326" s="915"/>
      <c r="L326" s="915"/>
      <c r="M326" s="915"/>
      <c r="N326" s="915"/>
      <c r="O326" s="915"/>
      <c r="P326" s="915"/>
      <c r="Q326" s="886"/>
    </row>
    <row r="327" spans="2:17">
      <c r="B327" s="915"/>
      <c r="C327" s="915"/>
      <c r="D327" s="915"/>
      <c r="E327" s="915"/>
      <c r="F327" s="915"/>
      <c r="G327" s="915"/>
      <c r="H327" s="915"/>
      <c r="I327" s="915"/>
      <c r="J327" s="915"/>
      <c r="K327" s="915"/>
      <c r="L327" s="915"/>
      <c r="M327" s="915"/>
      <c r="N327" s="915"/>
      <c r="O327" s="915"/>
      <c r="P327" s="915"/>
      <c r="Q327" s="886"/>
    </row>
    <row r="328" spans="2:17">
      <c r="B328" s="915"/>
      <c r="C328" s="915"/>
      <c r="D328" s="915"/>
      <c r="E328" s="915"/>
      <c r="F328" s="915"/>
      <c r="G328" s="915"/>
      <c r="H328" s="915"/>
      <c r="I328" s="915"/>
      <c r="J328" s="915"/>
      <c r="K328" s="915"/>
      <c r="L328" s="915"/>
      <c r="M328" s="915"/>
      <c r="N328" s="915"/>
      <c r="O328" s="915"/>
      <c r="P328" s="915"/>
      <c r="Q328" s="886"/>
    </row>
    <row r="329" spans="2:17">
      <c r="B329" s="915"/>
      <c r="C329" s="915"/>
      <c r="D329" s="915"/>
      <c r="E329" s="915"/>
      <c r="F329" s="915"/>
      <c r="G329" s="915"/>
      <c r="H329" s="915"/>
      <c r="I329" s="915"/>
      <c r="J329" s="915"/>
      <c r="K329" s="915"/>
      <c r="L329" s="915"/>
      <c r="M329" s="915"/>
      <c r="N329" s="915"/>
      <c r="O329" s="915"/>
      <c r="P329" s="915"/>
      <c r="Q329" s="886"/>
    </row>
    <row r="330" spans="2:17">
      <c r="B330" s="915"/>
      <c r="C330" s="915"/>
      <c r="D330" s="915"/>
      <c r="E330" s="915"/>
      <c r="F330" s="915"/>
      <c r="G330" s="915"/>
      <c r="H330" s="915"/>
      <c r="I330" s="915"/>
      <c r="J330" s="915"/>
      <c r="K330" s="915"/>
      <c r="L330" s="915"/>
      <c r="M330" s="915"/>
      <c r="N330" s="915"/>
      <c r="O330" s="915"/>
      <c r="P330" s="915"/>
      <c r="Q330" s="886"/>
    </row>
    <row r="331" spans="2:17">
      <c r="B331" s="915"/>
      <c r="C331" s="915"/>
      <c r="D331" s="915"/>
      <c r="E331" s="915"/>
      <c r="F331" s="915"/>
      <c r="G331" s="915"/>
      <c r="H331" s="915"/>
      <c r="I331" s="915"/>
      <c r="J331" s="915"/>
      <c r="K331" s="915"/>
      <c r="L331" s="915"/>
      <c r="M331" s="915"/>
      <c r="N331" s="915"/>
      <c r="O331" s="915"/>
      <c r="P331" s="915"/>
      <c r="Q331" s="886"/>
    </row>
    <row r="332" spans="2:17">
      <c r="B332" s="915"/>
      <c r="C332" s="915"/>
      <c r="D332" s="915"/>
      <c r="E332" s="915"/>
      <c r="F332" s="915"/>
      <c r="G332" s="915"/>
      <c r="H332" s="915"/>
      <c r="I332" s="915"/>
      <c r="J332" s="915"/>
      <c r="K332" s="915"/>
      <c r="L332" s="915"/>
      <c r="M332" s="915"/>
      <c r="N332" s="915"/>
      <c r="O332" s="915"/>
      <c r="P332" s="915"/>
      <c r="Q332" s="886"/>
    </row>
    <row r="333" spans="2:17">
      <c r="B333" s="915"/>
      <c r="C333" s="915"/>
      <c r="D333" s="915"/>
      <c r="E333" s="915"/>
      <c r="F333" s="915"/>
      <c r="G333" s="915"/>
      <c r="H333" s="915"/>
      <c r="I333" s="915"/>
      <c r="J333" s="915"/>
      <c r="K333" s="915"/>
      <c r="L333" s="915"/>
      <c r="M333" s="915"/>
      <c r="N333" s="915"/>
      <c r="O333" s="915"/>
      <c r="P333" s="915"/>
      <c r="Q333" s="886"/>
    </row>
    <row r="334" spans="2:17">
      <c r="B334" s="915"/>
      <c r="C334" s="915"/>
      <c r="D334" s="915"/>
      <c r="E334" s="915"/>
      <c r="F334" s="915"/>
      <c r="G334" s="915"/>
      <c r="H334" s="915"/>
      <c r="I334" s="915"/>
      <c r="J334" s="915"/>
      <c r="K334" s="915"/>
      <c r="L334" s="915"/>
      <c r="M334" s="915"/>
      <c r="N334" s="915"/>
      <c r="O334" s="915"/>
      <c r="P334" s="915"/>
      <c r="Q334" s="886"/>
    </row>
    <row r="335" spans="2:17">
      <c r="B335" s="915"/>
      <c r="C335" s="915"/>
      <c r="D335" s="915"/>
      <c r="E335" s="915"/>
      <c r="F335" s="915"/>
      <c r="G335" s="915"/>
      <c r="H335" s="915"/>
      <c r="I335" s="915"/>
      <c r="J335" s="915"/>
      <c r="K335" s="915"/>
      <c r="L335" s="915"/>
      <c r="M335" s="915"/>
      <c r="N335" s="915"/>
      <c r="O335" s="915"/>
      <c r="P335" s="915"/>
      <c r="Q335" s="886"/>
    </row>
    <row r="336" spans="2:17">
      <c r="B336" s="915"/>
      <c r="C336" s="915"/>
      <c r="D336" s="915"/>
      <c r="E336" s="915"/>
      <c r="F336" s="915"/>
      <c r="G336" s="915"/>
      <c r="H336" s="915"/>
      <c r="I336" s="915"/>
      <c r="J336" s="915"/>
      <c r="K336" s="915"/>
      <c r="L336" s="915"/>
      <c r="M336" s="915"/>
      <c r="N336" s="915"/>
      <c r="O336" s="915"/>
      <c r="P336" s="915"/>
      <c r="Q336" s="886"/>
    </row>
    <row r="337" spans="2:17">
      <c r="B337" s="915"/>
      <c r="C337" s="915"/>
      <c r="D337" s="915"/>
      <c r="E337" s="915"/>
      <c r="F337" s="915"/>
      <c r="G337" s="915"/>
      <c r="H337" s="915"/>
      <c r="I337" s="915"/>
      <c r="J337" s="915"/>
      <c r="K337" s="915"/>
      <c r="L337" s="915"/>
      <c r="M337" s="915"/>
      <c r="N337" s="915"/>
      <c r="O337" s="915"/>
      <c r="P337" s="915"/>
      <c r="Q337" s="886"/>
    </row>
    <row r="338" spans="2:17">
      <c r="B338" s="915"/>
      <c r="C338" s="915"/>
      <c r="D338" s="915"/>
      <c r="E338" s="915"/>
      <c r="F338" s="915"/>
      <c r="G338" s="915"/>
      <c r="H338" s="915"/>
      <c r="I338" s="915"/>
      <c r="J338" s="915"/>
      <c r="K338" s="915"/>
      <c r="L338" s="915"/>
      <c r="M338" s="915"/>
      <c r="N338" s="915"/>
      <c r="O338" s="915"/>
      <c r="P338" s="915"/>
      <c r="Q338" s="886"/>
    </row>
    <row r="339" spans="2:17">
      <c r="B339" s="915"/>
      <c r="C339" s="915"/>
      <c r="D339" s="915"/>
      <c r="E339" s="915"/>
      <c r="F339" s="915"/>
      <c r="G339" s="915"/>
      <c r="H339" s="915"/>
      <c r="I339" s="915"/>
      <c r="J339" s="915"/>
      <c r="K339" s="915"/>
      <c r="L339" s="915"/>
      <c r="M339" s="915"/>
      <c r="N339" s="915"/>
      <c r="O339" s="915"/>
      <c r="P339" s="915"/>
      <c r="Q339" s="886"/>
    </row>
    <row r="340" spans="2:17">
      <c r="B340" s="915"/>
      <c r="C340" s="915"/>
      <c r="D340" s="915"/>
      <c r="E340" s="915"/>
      <c r="F340" s="915"/>
      <c r="G340" s="915"/>
      <c r="H340" s="915"/>
      <c r="I340" s="915"/>
      <c r="J340" s="915"/>
      <c r="K340" s="915"/>
      <c r="L340" s="915"/>
      <c r="M340" s="915"/>
      <c r="N340" s="915"/>
      <c r="O340" s="915"/>
      <c r="P340" s="915"/>
      <c r="Q340" s="886"/>
    </row>
    <row r="341" spans="2:17">
      <c r="B341" s="915"/>
      <c r="C341" s="915"/>
      <c r="D341" s="915"/>
      <c r="E341" s="915"/>
      <c r="F341" s="915"/>
      <c r="G341" s="915"/>
      <c r="H341" s="915"/>
      <c r="I341" s="915"/>
      <c r="J341" s="915"/>
      <c r="K341" s="915"/>
      <c r="L341" s="915"/>
      <c r="M341" s="915"/>
      <c r="N341" s="915"/>
      <c r="O341" s="915"/>
      <c r="P341" s="915"/>
      <c r="Q341" s="886"/>
    </row>
    <row r="342" spans="2:17">
      <c r="Q342" s="879"/>
    </row>
    <row r="343" spans="2:17">
      <c r="Q343" s="879"/>
    </row>
    <row r="344" spans="2:17">
      <c r="Q344" s="879"/>
    </row>
    <row r="345" spans="2:17">
      <c r="Q345" s="879"/>
    </row>
    <row r="346" spans="2:17">
      <c r="Q346" s="879"/>
    </row>
    <row r="347" spans="2:17">
      <c r="Q347" s="879"/>
    </row>
    <row r="348" spans="2:17">
      <c r="Q348" s="879"/>
    </row>
    <row r="349" spans="2:17">
      <c r="Q349" s="879"/>
    </row>
    <row r="350" spans="2:17">
      <c r="Q350" s="879"/>
    </row>
    <row r="351" spans="2:17">
      <c r="Q351" s="879"/>
    </row>
    <row r="352" spans="2:17">
      <c r="Q352" s="879"/>
    </row>
    <row r="353" spans="17:17">
      <c r="Q353" s="879"/>
    </row>
    <row r="354" spans="17:17">
      <c r="Q354" s="879"/>
    </row>
    <row r="355" spans="17:17">
      <c r="Q355" s="879"/>
    </row>
    <row r="356" spans="17:17">
      <c r="Q356" s="879"/>
    </row>
    <row r="357" spans="17:17">
      <c r="Q357" s="879"/>
    </row>
    <row r="358" spans="17:17">
      <c r="Q358" s="879"/>
    </row>
    <row r="359" spans="17:17">
      <c r="Q359" s="879"/>
    </row>
    <row r="360" spans="17:17">
      <c r="Q360" s="879"/>
    </row>
    <row r="361" spans="17:17">
      <c r="Q361" s="879"/>
    </row>
    <row r="362" spans="17:17">
      <c r="Q362" s="879"/>
    </row>
    <row r="363" spans="17:17">
      <c r="Q363" s="879"/>
    </row>
    <row r="364" spans="17:17">
      <c r="Q364" s="879"/>
    </row>
    <row r="365" spans="17:17">
      <c r="Q365" s="879"/>
    </row>
    <row r="366" spans="17:17">
      <c r="Q366" s="879"/>
    </row>
    <row r="367" spans="17:17">
      <c r="Q367" s="879"/>
    </row>
    <row r="368" spans="17:17">
      <c r="Q368" s="879"/>
    </row>
    <row r="369" spans="17:17">
      <c r="Q369" s="879"/>
    </row>
    <row r="370" spans="17:17">
      <c r="Q370" s="879"/>
    </row>
    <row r="371" spans="17:17">
      <c r="Q371" s="879"/>
    </row>
    <row r="372" spans="17:17">
      <c r="Q372" s="879"/>
    </row>
    <row r="373" spans="17:17">
      <c r="Q373" s="879"/>
    </row>
    <row r="374" spans="17:17">
      <c r="Q374" s="879"/>
    </row>
    <row r="375" spans="17:17">
      <c r="Q375" s="879"/>
    </row>
    <row r="376" spans="17:17">
      <c r="Q376" s="879"/>
    </row>
    <row r="377" spans="17:17">
      <c r="Q377" s="879"/>
    </row>
    <row r="378" spans="17:17">
      <c r="Q378" s="879"/>
    </row>
    <row r="379" spans="17:17">
      <c r="Q379" s="879"/>
    </row>
    <row r="380" spans="17:17">
      <c r="Q380" s="879"/>
    </row>
    <row r="381" spans="17:17">
      <c r="Q381" s="879"/>
    </row>
    <row r="382" spans="17:17">
      <c r="Q382" s="879"/>
    </row>
    <row r="383" spans="17:17">
      <c r="Q383" s="879"/>
    </row>
    <row r="384" spans="17:17">
      <c r="Q384" s="879"/>
    </row>
    <row r="385" spans="17:17">
      <c r="Q385" s="879"/>
    </row>
    <row r="386" spans="17:17">
      <c r="Q386" s="879"/>
    </row>
    <row r="387" spans="17:17">
      <c r="Q387" s="879"/>
    </row>
    <row r="388" spans="17:17">
      <c r="Q388" s="879"/>
    </row>
    <row r="389" spans="17:17">
      <c r="Q389" s="879"/>
    </row>
    <row r="390" spans="17:17">
      <c r="Q390" s="879"/>
    </row>
    <row r="391" spans="17:17">
      <c r="Q391" s="879"/>
    </row>
    <row r="392" spans="17:17">
      <c r="Q392" s="879"/>
    </row>
    <row r="393" spans="17:17">
      <c r="Q393" s="879"/>
    </row>
    <row r="394" spans="17:17">
      <c r="Q394" s="879"/>
    </row>
    <row r="395" spans="17:17">
      <c r="Q395" s="879"/>
    </row>
    <row r="396" spans="17:17">
      <c r="Q396" s="879"/>
    </row>
    <row r="397" spans="17:17">
      <c r="Q397" s="879"/>
    </row>
    <row r="398" spans="17:17">
      <c r="Q398" s="879"/>
    </row>
    <row r="399" spans="17:17">
      <c r="Q399" s="879"/>
    </row>
    <row r="400" spans="17:17">
      <c r="Q400" s="879"/>
    </row>
    <row r="401" spans="17:17">
      <c r="Q401" s="879"/>
    </row>
    <row r="402" spans="17:17">
      <c r="Q402" s="879"/>
    </row>
    <row r="403" spans="17:17">
      <c r="Q403" s="879"/>
    </row>
    <row r="404" spans="17:17">
      <c r="Q404" s="879"/>
    </row>
    <row r="405" spans="17:17">
      <c r="Q405" s="879"/>
    </row>
    <row r="406" spans="17:17">
      <c r="Q406" s="879"/>
    </row>
    <row r="407" spans="17:17">
      <c r="Q407" s="879"/>
    </row>
    <row r="408" spans="17:17">
      <c r="Q408" s="879"/>
    </row>
    <row r="409" spans="17:17">
      <c r="Q409" s="879"/>
    </row>
    <row r="410" spans="17:17">
      <c r="Q410" s="879"/>
    </row>
    <row r="411" spans="17:17">
      <c r="Q411" s="879"/>
    </row>
    <row r="412" spans="17:17">
      <c r="Q412" s="879"/>
    </row>
    <row r="413" spans="17:17">
      <c r="Q413" s="879"/>
    </row>
    <row r="414" spans="17:17">
      <c r="Q414" s="879"/>
    </row>
    <row r="415" spans="17:17">
      <c r="Q415" s="879"/>
    </row>
    <row r="416" spans="17:17">
      <c r="Q416" s="879"/>
    </row>
    <row r="417" spans="17:17">
      <c r="Q417" s="879"/>
    </row>
    <row r="418" spans="17:17">
      <c r="Q418" s="879"/>
    </row>
    <row r="419" spans="17:17">
      <c r="Q419" s="879"/>
    </row>
    <row r="420" spans="17:17">
      <c r="Q420" s="879"/>
    </row>
    <row r="421" spans="17:17">
      <c r="Q421" s="879"/>
    </row>
  </sheetData>
  <mergeCells count="12">
    <mergeCell ref="B76:N76"/>
    <mergeCell ref="B77:N77"/>
    <mergeCell ref="B168:N168"/>
    <mergeCell ref="B169:N169"/>
    <mergeCell ref="B170:N170"/>
    <mergeCell ref="B2:P2"/>
    <mergeCell ref="B3:P3"/>
    <mergeCell ref="B25:P25"/>
    <mergeCell ref="B75:N75"/>
    <mergeCell ref="B4:N4"/>
    <mergeCell ref="B7:P7"/>
    <mergeCell ref="B5:P5"/>
  </mergeCells>
  <pageMargins left="0.25" right="0.25" top="0.75" bottom="0.75" header="0.3" footer="0.3"/>
  <pageSetup scale="43" fitToHeight="3" orientation="portrait" r:id="rId1"/>
  <rowBreaks count="2" manualBreakCount="2">
    <brk id="72" max="16383" man="1"/>
    <brk id="16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sheetPr>
  <dimension ref="A1:N63"/>
  <sheetViews>
    <sheetView view="pageBreakPreview" topLeftCell="A22" zoomScale="60" zoomScaleNormal="100" workbookViewId="0"/>
  </sheetViews>
  <sheetFormatPr defaultColWidth="8.77734375" defaultRowHeight="15"/>
  <cols>
    <col min="1" max="1" width="6.21875" style="1317" bestFit="1" customWidth="1"/>
    <col min="2" max="2" width="21.77734375" style="344" customWidth="1"/>
    <col min="3" max="3" width="26.21875" style="344" customWidth="1"/>
    <col min="4" max="4" width="2.21875" style="344" customWidth="1"/>
    <col min="5" max="5" width="18.77734375" style="344" customWidth="1"/>
    <col min="6" max="6" width="1.77734375" style="344" customWidth="1"/>
    <col min="7" max="7" width="18.77734375" style="344" customWidth="1"/>
    <col min="8" max="8" width="12.77734375" style="344" customWidth="1"/>
    <col min="9" max="9" width="15" style="344" customWidth="1"/>
    <col min="10" max="10" width="15.77734375" style="344" customWidth="1"/>
    <col min="11" max="11" width="1.44140625" style="344" customWidth="1"/>
    <col min="12" max="12" width="13.44140625" style="344" customWidth="1"/>
    <col min="13" max="13" width="8.77734375" style="344"/>
    <col min="14" max="14" width="8.44140625" style="344" bestFit="1" customWidth="1"/>
    <col min="15" max="16384" width="8.77734375" style="344"/>
  </cols>
  <sheetData>
    <row r="1" spans="1:13" s="343" customFormat="1" ht="15.75">
      <c r="A1" s="1316"/>
      <c r="B1" s="1611"/>
      <c r="C1" s="1611"/>
      <c r="D1" s="1611"/>
      <c r="E1" s="1611"/>
      <c r="F1" s="1611"/>
      <c r="G1" s="1611"/>
      <c r="H1" s="1611"/>
      <c r="I1" s="1611"/>
      <c r="J1" s="1611"/>
      <c r="K1" s="1611"/>
      <c r="L1" s="1611"/>
    </row>
    <row r="2" spans="1:13" s="343" customFormat="1" ht="18">
      <c r="A2" s="1316"/>
      <c r="B2" s="1612" t="s">
        <v>359</v>
      </c>
      <c r="C2" s="1612"/>
      <c r="D2" s="1612"/>
      <c r="E2" s="1612"/>
      <c r="F2" s="1612"/>
      <c r="G2" s="1612"/>
      <c r="H2" s="1612"/>
      <c r="I2" s="1612"/>
      <c r="J2" s="1612"/>
      <c r="K2" s="1612"/>
      <c r="L2" s="1612"/>
    </row>
    <row r="3" spans="1:13" s="343" customFormat="1" ht="18">
      <c r="A3" s="1316"/>
      <c r="B3" s="1612" t="str">
        <f>+'Appendix III'!E8</f>
        <v>MidAmerican Central California Transco, LLC</v>
      </c>
      <c r="C3" s="1612"/>
      <c r="D3" s="1612"/>
      <c r="E3" s="1612"/>
      <c r="F3" s="1612"/>
      <c r="G3" s="1612"/>
      <c r="H3" s="1612"/>
      <c r="I3" s="1612"/>
      <c r="J3" s="1612"/>
      <c r="K3" s="1612"/>
      <c r="L3" s="1612"/>
    </row>
    <row r="4" spans="1:13">
      <c r="B4" s="370"/>
      <c r="C4" s="370"/>
      <c r="D4" s="370"/>
      <c r="E4" s="370"/>
      <c r="F4" s="370"/>
      <c r="G4" s="370"/>
      <c r="H4" s="370"/>
      <c r="I4" s="370"/>
      <c r="J4" s="370"/>
      <c r="K4" s="370"/>
      <c r="L4" s="370"/>
    </row>
    <row r="5" spans="1:13">
      <c r="B5" s="370"/>
      <c r="C5" s="370"/>
      <c r="D5" s="370"/>
      <c r="E5" s="370"/>
      <c r="F5" s="370"/>
      <c r="G5" s="370"/>
      <c r="H5" s="370"/>
      <c r="I5" s="370"/>
      <c r="J5" s="370"/>
      <c r="K5" s="370"/>
      <c r="L5" s="370"/>
    </row>
    <row r="6" spans="1:13" ht="16.5" thickBot="1">
      <c r="A6" s="1112">
        <v>1</v>
      </c>
      <c r="B6" s="439">
        <v>2019</v>
      </c>
      <c r="C6" s="440"/>
      <c r="D6" s="440"/>
      <c r="E6" s="439">
        <v>2019</v>
      </c>
      <c r="F6" s="371"/>
      <c r="G6" s="371"/>
      <c r="H6" s="371"/>
      <c r="I6" s="371"/>
      <c r="K6" s="371"/>
      <c r="L6" s="371"/>
      <c r="M6" s="343"/>
    </row>
    <row r="7" spans="1:13" ht="31.5">
      <c r="A7" s="1112">
        <f>+A6+1</f>
        <v>2</v>
      </c>
      <c r="B7" s="372" t="s">
        <v>1062</v>
      </c>
      <c r="C7" s="371"/>
      <c r="D7" s="371"/>
      <c r="E7" s="372" t="s">
        <v>1063</v>
      </c>
      <c r="F7" s="371"/>
      <c r="G7" s="371"/>
      <c r="H7" s="372" t="s">
        <v>597</v>
      </c>
      <c r="K7" s="353"/>
      <c r="L7" s="353"/>
      <c r="M7" s="343"/>
    </row>
    <row r="8" spans="1:13" ht="15.75">
      <c r="A8" s="1112">
        <f t="shared" ref="A8:A54" si="0">+A7+1</f>
        <v>3</v>
      </c>
      <c r="B8" s="373"/>
      <c r="C8" s="371"/>
      <c r="D8" s="371"/>
      <c r="E8" s="373"/>
      <c r="F8" s="371"/>
      <c r="G8" s="371"/>
      <c r="H8" s="374"/>
      <c r="K8" s="353"/>
      <c r="L8" s="353"/>
      <c r="M8" s="343"/>
    </row>
    <row r="9" spans="1:13" ht="16.5" thickBot="1">
      <c r="A9" s="1112">
        <f>+A8+1</f>
        <v>4</v>
      </c>
      <c r="B9" s="441">
        <v>0</v>
      </c>
      <c r="C9" s="356" t="s">
        <v>300</v>
      </c>
      <c r="D9" s="354"/>
      <c r="E9" s="441">
        <v>0</v>
      </c>
      <c r="F9" s="355"/>
      <c r="G9" s="356" t="s">
        <v>301</v>
      </c>
      <c r="H9" s="375">
        <f>IF(E9=0,0,B9-E9)</f>
        <v>0</v>
      </c>
      <c r="K9" s="353"/>
      <c r="L9" s="353"/>
      <c r="M9" s="343"/>
    </row>
    <row r="10" spans="1:13" ht="15.75">
      <c r="A10" s="1112">
        <f t="shared" si="0"/>
        <v>5</v>
      </c>
      <c r="B10" s="355"/>
      <c r="C10" s="354"/>
      <c r="D10" s="354"/>
      <c r="E10" s="355"/>
      <c r="F10" s="355"/>
      <c r="G10" s="354"/>
      <c r="H10" s="355"/>
      <c r="I10" s="353"/>
      <c r="J10" s="353"/>
      <c r="K10" s="353"/>
      <c r="L10" s="353"/>
      <c r="M10" s="343"/>
    </row>
    <row r="11" spans="1:13" ht="16.5" thickBot="1">
      <c r="A11" s="1112">
        <f t="shared" si="0"/>
        <v>6</v>
      </c>
      <c r="B11" s="357"/>
      <c r="C11" s="358"/>
      <c r="D11" s="358"/>
      <c r="E11" s="357"/>
      <c r="F11" s="357"/>
      <c r="G11" s="358"/>
      <c r="H11" s="357"/>
      <c r="I11" s="359"/>
      <c r="J11" s="359"/>
      <c r="K11" s="359"/>
      <c r="L11" s="359"/>
      <c r="M11" s="343"/>
    </row>
    <row r="12" spans="1:13" ht="23.25" customHeight="1">
      <c r="A12" s="1112">
        <f t="shared" si="0"/>
        <v>7</v>
      </c>
      <c r="B12" s="376"/>
      <c r="C12" s="354"/>
      <c r="D12" s="354"/>
      <c r="E12" s="355"/>
      <c r="F12" s="355"/>
      <c r="G12" s="354"/>
      <c r="H12" s="355"/>
      <c r="I12" s="353"/>
      <c r="J12" s="353"/>
      <c r="K12" s="353"/>
      <c r="L12" s="353"/>
      <c r="M12" s="343"/>
    </row>
    <row r="13" spans="1:13" ht="53.25" customHeight="1">
      <c r="A13" s="1112">
        <f t="shared" si="0"/>
        <v>8</v>
      </c>
      <c r="B13" s="360" t="s">
        <v>254</v>
      </c>
      <c r="C13" s="354"/>
      <c r="D13" s="354"/>
      <c r="E13" s="361" t="s">
        <v>255</v>
      </c>
      <c r="F13" s="355"/>
      <c r="G13" s="361" t="s">
        <v>1064</v>
      </c>
      <c r="H13" s="356" t="s">
        <v>256</v>
      </c>
      <c r="I13" s="362" t="s">
        <v>257</v>
      </c>
      <c r="J13" s="361" t="s">
        <v>258</v>
      </c>
      <c r="K13" s="363"/>
      <c r="L13" s="361" t="s">
        <v>259</v>
      </c>
      <c r="M13" s="343"/>
    </row>
    <row r="14" spans="1:13" ht="15.75">
      <c r="A14" s="1112">
        <f t="shared" si="0"/>
        <v>9</v>
      </c>
      <c r="B14" s="360"/>
      <c r="C14" s="354"/>
      <c r="D14" s="354"/>
      <c r="E14" s="369"/>
      <c r="F14" s="364"/>
      <c r="G14" s="443"/>
      <c r="H14" s="355"/>
      <c r="I14" s="369"/>
      <c r="J14" s="369"/>
      <c r="K14" s="369"/>
      <c r="L14" s="369"/>
      <c r="M14" s="343"/>
    </row>
    <row r="15" spans="1:13" ht="15.75">
      <c r="A15" s="1112">
        <f t="shared" si="0"/>
        <v>10</v>
      </c>
      <c r="B15" s="360"/>
      <c r="C15" s="354"/>
      <c r="D15" s="354"/>
      <c r="E15" s="369"/>
      <c r="F15" s="364"/>
      <c r="G15" s="364"/>
      <c r="H15" s="355"/>
      <c r="I15" s="369"/>
      <c r="J15" s="369"/>
      <c r="K15" s="369"/>
      <c r="L15" s="369"/>
      <c r="M15" s="343"/>
    </row>
    <row r="16" spans="1:13" ht="15.75">
      <c r="A16" s="1112">
        <f t="shared" si="0"/>
        <v>11</v>
      </c>
      <c r="B16" s="360" t="s">
        <v>456</v>
      </c>
      <c r="C16" s="354"/>
      <c r="D16" s="354"/>
      <c r="E16" s="369"/>
      <c r="F16" s="364"/>
      <c r="G16" s="364"/>
      <c r="H16" s="355"/>
      <c r="I16" s="369"/>
      <c r="J16" s="369"/>
      <c r="K16" s="369"/>
      <c r="L16" s="369"/>
      <c r="M16" s="343"/>
    </row>
    <row r="17" spans="1:13" ht="15.75">
      <c r="A17" s="1112">
        <f t="shared" si="0"/>
        <v>12</v>
      </c>
      <c r="B17" s="365" t="s">
        <v>8</v>
      </c>
      <c r="C17" s="354"/>
      <c r="D17" s="354"/>
      <c r="E17" s="354"/>
      <c r="F17" s="354"/>
      <c r="G17" s="354" t="s">
        <v>8</v>
      </c>
      <c r="H17" s="369"/>
      <c r="I17" s="369"/>
      <c r="J17" s="369"/>
      <c r="K17" s="369"/>
      <c r="L17" s="369"/>
      <c r="M17" s="343"/>
    </row>
    <row r="18" spans="1:13" ht="15.75">
      <c r="A18" s="1112">
        <f t="shared" si="0"/>
        <v>13</v>
      </c>
      <c r="B18" s="377"/>
      <c r="C18" s="354"/>
      <c r="D18" s="354"/>
      <c r="E18" s="354"/>
      <c r="F18" s="354"/>
      <c r="G18" s="369"/>
      <c r="H18" s="369"/>
      <c r="I18" s="356"/>
      <c r="J18" s="354"/>
      <c r="K18" s="354"/>
      <c r="L18" s="354"/>
      <c r="M18" s="343"/>
    </row>
    <row r="19" spans="1:13" ht="15.75">
      <c r="A19" s="1112">
        <f t="shared" si="0"/>
        <v>14</v>
      </c>
      <c r="B19" s="377" t="s">
        <v>260</v>
      </c>
      <c r="C19" s="354"/>
      <c r="D19" s="354"/>
      <c r="E19" s="354"/>
      <c r="F19" s="354"/>
      <c r="G19" s="369"/>
      <c r="H19" s="369"/>
      <c r="I19" s="356" t="s">
        <v>261</v>
      </c>
      <c r="J19" s="354"/>
      <c r="K19" s="354"/>
      <c r="L19" s="354"/>
      <c r="M19" s="343"/>
    </row>
    <row r="20" spans="1:13" ht="15.75">
      <c r="A20" s="1112">
        <f t="shared" si="0"/>
        <v>15</v>
      </c>
      <c r="B20" s="371" t="s">
        <v>156</v>
      </c>
      <c r="C20" s="438" t="s">
        <v>1076</v>
      </c>
      <c r="D20" s="371"/>
      <c r="E20" s="378">
        <f>+H9/12</f>
        <v>0</v>
      </c>
      <c r="F20" s="378"/>
      <c r="G20" s="379">
        <f>+G14</f>
        <v>0</v>
      </c>
      <c r="H20" s="378">
        <v>12</v>
      </c>
      <c r="I20" s="378">
        <f>G20*E20*H20*-1</f>
        <v>0</v>
      </c>
      <c r="J20" s="378"/>
      <c r="K20" s="378"/>
      <c r="L20" s="378">
        <f>(-I20+E20)*-1</f>
        <v>0</v>
      </c>
      <c r="M20" s="343"/>
    </row>
    <row r="21" spans="1:13" ht="15.75">
      <c r="A21" s="1112">
        <f t="shared" si="0"/>
        <v>16</v>
      </c>
      <c r="B21" s="371" t="s">
        <v>155</v>
      </c>
      <c r="C21" s="438" t="str">
        <f>+C20</f>
        <v>Year 2019</v>
      </c>
      <c r="D21" s="371"/>
      <c r="E21" s="378">
        <f>+E20</f>
        <v>0</v>
      </c>
      <c r="F21" s="378"/>
      <c r="G21" s="379">
        <f>+G20</f>
        <v>0</v>
      </c>
      <c r="H21" s="442">
        <f t="shared" ref="H21:H31" si="1">+H20-1</f>
        <v>11</v>
      </c>
      <c r="I21" s="378">
        <f t="shared" ref="I21:I31" si="2">G21*E21*H21*-1</f>
        <v>0</v>
      </c>
      <c r="J21" s="378"/>
      <c r="K21" s="378"/>
      <c r="L21" s="378">
        <f t="shared" ref="L21:L31" si="3">(-I21+E21)*-1</f>
        <v>0</v>
      </c>
      <c r="M21" s="343"/>
    </row>
    <row r="22" spans="1:13" ht="15.75">
      <c r="A22" s="1112">
        <f t="shared" si="0"/>
        <v>17</v>
      </c>
      <c r="B22" s="371" t="s">
        <v>154</v>
      </c>
      <c r="C22" s="438" t="str">
        <f t="shared" ref="C22:C31" si="4">+C21</f>
        <v>Year 2019</v>
      </c>
      <c r="D22" s="371"/>
      <c r="E22" s="378">
        <f t="shared" ref="E22:E31" si="5">+E21</f>
        <v>0</v>
      </c>
      <c r="F22" s="378"/>
      <c r="G22" s="379">
        <f t="shared" ref="G22:G31" si="6">+G21</f>
        <v>0</v>
      </c>
      <c r="H22" s="442">
        <f t="shared" si="1"/>
        <v>10</v>
      </c>
      <c r="I22" s="378">
        <f t="shared" si="2"/>
        <v>0</v>
      </c>
      <c r="J22" s="378"/>
      <c r="K22" s="378"/>
      <c r="L22" s="378">
        <f t="shared" si="3"/>
        <v>0</v>
      </c>
      <c r="M22" s="343"/>
    </row>
    <row r="23" spans="1:13" ht="15.75">
      <c r="A23" s="1112">
        <f t="shared" si="0"/>
        <v>18</v>
      </c>
      <c r="B23" s="371" t="s">
        <v>134</v>
      </c>
      <c r="C23" s="438" t="str">
        <f t="shared" si="4"/>
        <v>Year 2019</v>
      </c>
      <c r="D23" s="371"/>
      <c r="E23" s="378">
        <f t="shared" si="5"/>
        <v>0</v>
      </c>
      <c r="F23" s="378"/>
      <c r="G23" s="379">
        <f t="shared" si="6"/>
        <v>0</v>
      </c>
      <c r="H23" s="442">
        <f t="shared" si="1"/>
        <v>9</v>
      </c>
      <c r="I23" s="378">
        <f t="shared" si="2"/>
        <v>0</v>
      </c>
      <c r="J23" s="378"/>
      <c r="K23" s="378"/>
      <c r="L23" s="378">
        <f t="shared" si="3"/>
        <v>0</v>
      </c>
      <c r="M23" s="343"/>
    </row>
    <row r="24" spans="1:13" ht="15.75">
      <c r="A24" s="1112">
        <f t="shared" si="0"/>
        <v>19</v>
      </c>
      <c r="B24" s="371" t="s">
        <v>131</v>
      </c>
      <c r="C24" s="438" t="str">
        <f t="shared" si="4"/>
        <v>Year 2019</v>
      </c>
      <c r="D24" s="371"/>
      <c r="E24" s="378">
        <f t="shared" si="5"/>
        <v>0</v>
      </c>
      <c r="F24" s="378"/>
      <c r="G24" s="379">
        <f t="shared" si="6"/>
        <v>0</v>
      </c>
      <c r="H24" s="442">
        <f t="shared" si="1"/>
        <v>8</v>
      </c>
      <c r="I24" s="378">
        <f t="shared" si="2"/>
        <v>0</v>
      </c>
      <c r="J24" s="378"/>
      <c r="K24" s="378"/>
      <c r="L24" s="378">
        <f t="shared" si="3"/>
        <v>0</v>
      </c>
      <c r="M24" s="343"/>
    </row>
    <row r="25" spans="1:13" ht="15.75">
      <c r="A25" s="1112">
        <f t="shared" si="0"/>
        <v>20</v>
      </c>
      <c r="B25" s="371" t="s">
        <v>262</v>
      </c>
      <c r="C25" s="438" t="str">
        <f t="shared" si="4"/>
        <v>Year 2019</v>
      </c>
      <c r="D25" s="371"/>
      <c r="E25" s="378">
        <f t="shared" si="5"/>
        <v>0</v>
      </c>
      <c r="F25" s="378"/>
      <c r="G25" s="379">
        <f t="shared" si="6"/>
        <v>0</v>
      </c>
      <c r="H25" s="442">
        <f t="shared" si="1"/>
        <v>7</v>
      </c>
      <c r="I25" s="378">
        <f t="shared" si="2"/>
        <v>0</v>
      </c>
      <c r="J25" s="378"/>
      <c r="K25" s="378"/>
      <c r="L25" s="378">
        <f t="shared" si="3"/>
        <v>0</v>
      </c>
      <c r="M25" s="343"/>
    </row>
    <row r="26" spans="1:13" ht="15.75">
      <c r="A26" s="1112">
        <f t="shared" si="0"/>
        <v>21</v>
      </c>
      <c r="B26" s="371" t="s">
        <v>152</v>
      </c>
      <c r="C26" s="438" t="str">
        <f t="shared" si="4"/>
        <v>Year 2019</v>
      </c>
      <c r="D26" s="371"/>
      <c r="E26" s="378">
        <f t="shared" si="5"/>
        <v>0</v>
      </c>
      <c r="F26" s="378"/>
      <c r="G26" s="379">
        <f t="shared" si="6"/>
        <v>0</v>
      </c>
      <c r="H26" s="442">
        <f t="shared" si="1"/>
        <v>6</v>
      </c>
      <c r="I26" s="378">
        <f t="shared" si="2"/>
        <v>0</v>
      </c>
      <c r="J26" s="378"/>
      <c r="K26" s="378"/>
      <c r="L26" s="378">
        <f t="shared" si="3"/>
        <v>0</v>
      </c>
      <c r="M26" s="343"/>
    </row>
    <row r="27" spans="1:13" ht="15.75">
      <c r="A27" s="1112">
        <f t="shared" si="0"/>
        <v>22</v>
      </c>
      <c r="B27" s="371" t="s">
        <v>151</v>
      </c>
      <c r="C27" s="438" t="str">
        <f t="shared" si="4"/>
        <v>Year 2019</v>
      </c>
      <c r="D27" s="371"/>
      <c r="E27" s="378">
        <f t="shared" si="5"/>
        <v>0</v>
      </c>
      <c r="F27" s="378"/>
      <c r="G27" s="379">
        <f t="shared" si="6"/>
        <v>0</v>
      </c>
      <c r="H27" s="442">
        <f t="shared" si="1"/>
        <v>5</v>
      </c>
      <c r="I27" s="378">
        <f t="shared" si="2"/>
        <v>0</v>
      </c>
      <c r="J27" s="378"/>
      <c r="K27" s="378"/>
      <c r="L27" s="378">
        <f t="shared" si="3"/>
        <v>0</v>
      </c>
      <c r="M27" s="343"/>
    </row>
    <row r="28" spans="1:13" ht="15.75">
      <c r="A28" s="1112">
        <f t="shared" si="0"/>
        <v>23</v>
      </c>
      <c r="B28" s="371" t="s">
        <v>150</v>
      </c>
      <c r="C28" s="438" t="str">
        <f t="shared" si="4"/>
        <v>Year 2019</v>
      </c>
      <c r="D28" s="371"/>
      <c r="E28" s="378">
        <f t="shared" si="5"/>
        <v>0</v>
      </c>
      <c r="F28" s="378"/>
      <c r="G28" s="379">
        <f t="shared" si="6"/>
        <v>0</v>
      </c>
      <c r="H28" s="442">
        <f t="shared" si="1"/>
        <v>4</v>
      </c>
      <c r="I28" s="378">
        <f t="shared" si="2"/>
        <v>0</v>
      </c>
      <c r="J28" s="378"/>
      <c r="K28" s="378"/>
      <c r="L28" s="378">
        <f t="shared" si="3"/>
        <v>0</v>
      </c>
      <c r="M28" s="343"/>
    </row>
    <row r="29" spans="1:13" ht="15.75">
      <c r="A29" s="1112">
        <f t="shared" si="0"/>
        <v>24</v>
      </c>
      <c r="B29" s="371" t="s">
        <v>161</v>
      </c>
      <c r="C29" s="438" t="str">
        <f t="shared" si="4"/>
        <v>Year 2019</v>
      </c>
      <c r="D29" s="371"/>
      <c r="E29" s="378">
        <f t="shared" si="5"/>
        <v>0</v>
      </c>
      <c r="F29" s="378"/>
      <c r="G29" s="379">
        <f t="shared" si="6"/>
        <v>0</v>
      </c>
      <c r="H29" s="442">
        <f t="shared" si="1"/>
        <v>3</v>
      </c>
      <c r="I29" s="378">
        <f t="shared" si="2"/>
        <v>0</v>
      </c>
      <c r="J29" s="378"/>
      <c r="K29" s="378"/>
      <c r="L29" s="378">
        <f t="shared" si="3"/>
        <v>0</v>
      </c>
      <c r="M29" s="343"/>
    </row>
    <row r="30" spans="1:13" ht="15.75">
      <c r="A30" s="1112">
        <f t="shared" si="0"/>
        <v>25</v>
      </c>
      <c r="B30" s="371" t="s">
        <v>148</v>
      </c>
      <c r="C30" s="438" t="str">
        <f t="shared" si="4"/>
        <v>Year 2019</v>
      </c>
      <c r="D30" s="371"/>
      <c r="E30" s="378">
        <f t="shared" si="5"/>
        <v>0</v>
      </c>
      <c r="F30" s="378"/>
      <c r="G30" s="379">
        <f t="shared" si="6"/>
        <v>0</v>
      </c>
      <c r="H30" s="442">
        <f t="shared" si="1"/>
        <v>2</v>
      </c>
      <c r="I30" s="378">
        <f t="shared" si="2"/>
        <v>0</v>
      </c>
      <c r="J30" s="378"/>
      <c r="K30" s="378"/>
      <c r="L30" s="378">
        <f t="shared" si="3"/>
        <v>0</v>
      </c>
      <c r="M30" s="343"/>
    </row>
    <row r="31" spans="1:13" ht="15.75">
      <c r="A31" s="1112">
        <f t="shared" si="0"/>
        <v>26</v>
      </c>
      <c r="B31" s="371" t="s">
        <v>146</v>
      </c>
      <c r="C31" s="438" t="str">
        <f t="shared" si="4"/>
        <v>Year 2019</v>
      </c>
      <c r="D31" s="371"/>
      <c r="E31" s="378">
        <f t="shared" si="5"/>
        <v>0</v>
      </c>
      <c r="F31" s="378"/>
      <c r="G31" s="379">
        <f t="shared" si="6"/>
        <v>0</v>
      </c>
      <c r="H31" s="442">
        <f t="shared" si="1"/>
        <v>1</v>
      </c>
      <c r="I31" s="366">
        <f t="shared" si="2"/>
        <v>0</v>
      </c>
      <c r="J31" s="378"/>
      <c r="K31" s="378"/>
      <c r="L31" s="378">
        <f t="shared" si="3"/>
        <v>0</v>
      </c>
      <c r="M31" s="343"/>
    </row>
    <row r="32" spans="1:13" ht="15.75">
      <c r="A32" s="1112">
        <f t="shared" si="0"/>
        <v>27</v>
      </c>
      <c r="B32" s="371"/>
      <c r="C32" s="371"/>
      <c r="D32" s="371"/>
      <c r="E32" s="378"/>
      <c r="F32" s="378"/>
      <c r="G32" s="379"/>
      <c r="H32" s="442"/>
      <c r="I32" s="378">
        <f>SUM(I20:I31)</f>
        <v>0</v>
      </c>
      <c r="J32" s="378"/>
      <c r="K32" s="378"/>
      <c r="L32" s="380">
        <f>SUM(L20:L31)</f>
        <v>0</v>
      </c>
      <c r="M32" s="343"/>
    </row>
    <row r="33" spans="1:14" ht="15.75">
      <c r="A33" s="1112">
        <f t="shared" si="0"/>
        <v>28</v>
      </c>
      <c r="B33" s="371"/>
      <c r="C33" s="371"/>
      <c r="D33" s="371"/>
      <c r="E33" s="378"/>
      <c r="F33" s="378"/>
      <c r="G33" s="379"/>
      <c r="H33" s="378"/>
      <c r="I33" s="378"/>
      <c r="J33" s="378" t="s">
        <v>8</v>
      </c>
      <c r="K33" s="378"/>
      <c r="L33" s="381"/>
      <c r="M33" s="343"/>
    </row>
    <row r="34" spans="1:14" ht="15.75">
      <c r="A34" s="1112">
        <f t="shared" si="0"/>
        <v>29</v>
      </c>
      <c r="B34" s="371"/>
      <c r="C34" s="371"/>
      <c r="D34" s="371"/>
      <c r="E34" s="355"/>
      <c r="F34" s="355"/>
      <c r="G34" s="379"/>
      <c r="H34" s="378"/>
      <c r="I34" s="382" t="s">
        <v>263</v>
      </c>
      <c r="J34" s="378"/>
      <c r="K34" s="378"/>
      <c r="L34" s="378"/>
      <c r="M34" s="343"/>
    </row>
    <row r="35" spans="1:14" ht="15.75">
      <c r="A35" s="1112">
        <f t="shared" si="0"/>
        <v>30</v>
      </c>
      <c r="B35" s="371" t="s">
        <v>264</v>
      </c>
      <c r="C35" s="438" t="s">
        <v>1078</v>
      </c>
      <c r="D35" s="371"/>
      <c r="E35" s="355">
        <f>L32</f>
        <v>0</v>
      </c>
      <c r="F35" s="355"/>
      <c r="G35" s="379">
        <f>+G31</f>
        <v>0</v>
      </c>
      <c r="H35" s="378">
        <v>12</v>
      </c>
      <c r="I35" s="378">
        <f>+H35*G35*E35</f>
        <v>0</v>
      </c>
      <c r="J35" s="378"/>
      <c r="K35" s="378"/>
      <c r="L35" s="380">
        <f>+E35+I35</f>
        <v>0</v>
      </c>
      <c r="M35" s="343"/>
    </row>
    <row r="36" spans="1:14" ht="15.75">
      <c r="A36" s="1112">
        <f t="shared" si="0"/>
        <v>31</v>
      </c>
      <c r="B36" s="371"/>
      <c r="C36" s="371"/>
      <c r="D36" s="371"/>
      <c r="E36" s="355"/>
      <c r="F36" s="355"/>
      <c r="G36" s="379"/>
      <c r="H36" s="371"/>
      <c r="I36" s="378"/>
      <c r="J36" s="378"/>
      <c r="K36" s="378"/>
      <c r="L36" s="378"/>
      <c r="M36" s="343"/>
    </row>
    <row r="37" spans="1:14" ht="15.75">
      <c r="A37" s="1112">
        <f t="shared" si="0"/>
        <v>32</v>
      </c>
      <c r="B37" s="383" t="s">
        <v>265</v>
      </c>
      <c r="C37" s="371"/>
      <c r="D37" s="371"/>
      <c r="E37" s="378"/>
      <c r="F37" s="378"/>
      <c r="G37" s="379"/>
      <c r="H37" s="371"/>
      <c r="I37" s="382" t="s">
        <v>261</v>
      </c>
      <c r="J37" s="378"/>
      <c r="K37" s="378"/>
      <c r="L37" s="378"/>
      <c r="M37" s="343"/>
    </row>
    <row r="38" spans="1:14" ht="15.75">
      <c r="A38" s="1112">
        <f t="shared" si="0"/>
        <v>33</v>
      </c>
      <c r="B38" s="371" t="s">
        <v>156</v>
      </c>
      <c r="C38" s="438" t="s">
        <v>1077</v>
      </c>
      <c r="D38" s="371"/>
      <c r="E38" s="384">
        <f>-L35</f>
        <v>0</v>
      </c>
      <c r="F38" s="355"/>
      <c r="G38" s="379">
        <f>+G31</f>
        <v>0</v>
      </c>
      <c r="H38" s="371"/>
      <c r="I38" s="378">
        <f xml:space="preserve"> -G38*E38</f>
        <v>0</v>
      </c>
      <c r="J38" s="378">
        <f>PMT(G38,12,L$35)</f>
        <v>0</v>
      </c>
      <c r="K38" s="378"/>
      <c r="L38" s="378">
        <f>(+E38+E38*G38-J38)*-1</f>
        <v>0</v>
      </c>
      <c r="M38" s="345"/>
      <c r="N38" s="346"/>
    </row>
    <row r="39" spans="1:14" ht="15.75">
      <c r="A39" s="1112">
        <f t="shared" si="0"/>
        <v>34</v>
      </c>
      <c r="B39" s="371" t="s">
        <v>155</v>
      </c>
      <c r="C39" s="438" t="str">
        <f>+C38</f>
        <v>Year 2021</v>
      </c>
      <c r="D39" s="371"/>
      <c r="E39" s="355">
        <f>-L38</f>
        <v>0</v>
      </c>
      <c r="F39" s="355"/>
      <c r="G39" s="379">
        <f>+G38</f>
        <v>0</v>
      </c>
      <c r="H39" s="371"/>
      <c r="I39" s="378">
        <f t="shared" ref="I39:I49" si="7" xml:space="preserve"> -G39*E39</f>
        <v>0</v>
      </c>
      <c r="J39" s="378">
        <f>J38</f>
        <v>0</v>
      </c>
      <c r="K39" s="378"/>
      <c r="L39" s="378">
        <f t="shared" ref="L39:L49" si="8">(+E39+E39*G39-J39)*-1</f>
        <v>0</v>
      </c>
      <c r="M39" s="345"/>
      <c r="N39" s="346"/>
    </row>
    <row r="40" spans="1:14" ht="15.75">
      <c r="A40" s="1112">
        <f t="shared" si="0"/>
        <v>35</v>
      </c>
      <c r="B40" s="371" t="s">
        <v>154</v>
      </c>
      <c r="C40" s="438" t="str">
        <f>+C39</f>
        <v>Year 2021</v>
      </c>
      <c r="D40" s="371"/>
      <c r="E40" s="355">
        <f t="shared" ref="E40:E49" si="9">-L39</f>
        <v>0</v>
      </c>
      <c r="F40" s="355"/>
      <c r="G40" s="379">
        <f t="shared" ref="G40:G49" si="10">+G39</f>
        <v>0</v>
      </c>
      <c r="H40" s="371"/>
      <c r="I40" s="378">
        <f t="shared" si="7"/>
        <v>0</v>
      </c>
      <c r="J40" s="378">
        <f t="shared" ref="J40:J49" si="11">J39</f>
        <v>0</v>
      </c>
      <c r="K40" s="378"/>
      <c r="L40" s="378">
        <f t="shared" si="8"/>
        <v>0</v>
      </c>
      <c r="M40" s="345"/>
      <c r="N40" s="346"/>
    </row>
    <row r="41" spans="1:14" ht="15.75">
      <c r="A41" s="1112">
        <f t="shared" si="0"/>
        <v>36</v>
      </c>
      <c r="B41" s="371" t="s">
        <v>134</v>
      </c>
      <c r="C41" s="438" t="str">
        <f>+C40</f>
        <v>Year 2021</v>
      </c>
      <c r="D41" s="371"/>
      <c r="E41" s="355">
        <f t="shared" si="9"/>
        <v>0</v>
      </c>
      <c r="F41" s="355"/>
      <c r="G41" s="379">
        <f t="shared" si="10"/>
        <v>0</v>
      </c>
      <c r="H41" s="371"/>
      <c r="I41" s="378">
        <f t="shared" si="7"/>
        <v>0</v>
      </c>
      <c r="J41" s="378">
        <f t="shared" si="11"/>
        <v>0</v>
      </c>
      <c r="K41" s="378"/>
      <c r="L41" s="378">
        <f t="shared" si="8"/>
        <v>0</v>
      </c>
      <c r="M41" s="345"/>
      <c r="N41" s="346"/>
    </row>
    <row r="42" spans="1:14" ht="15.75">
      <c r="A42" s="1112">
        <f t="shared" si="0"/>
        <v>37</v>
      </c>
      <c r="B42" s="371" t="s">
        <v>131</v>
      </c>
      <c r="C42" s="438" t="str">
        <f>+C41</f>
        <v>Year 2021</v>
      </c>
      <c r="D42" s="371"/>
      <c r="E42" s="355">
        <f t="shared" si="9"/>
        <v>0</v>
      </c>
      <c r="F42" s="355"/>
      <c r="G42" s="379">
        <f t="shared" si="10"/>
        <v>0</v>
      </c>
      <c r="H42" s="371"/>
      <c r="I42" s="378">
        <f t="shared" si="7"/>
        <v>0</v>
      </c>
      <c r="J42" s="378">
        <f t="shared" si="11"/>
        <v>0</v>
      </c>
      <c r="K42" s="378"/>
      <c r="L42" s="378">
        <f t="shared" si="8"/>
        <v>0</v>
      </c>
      <c r="M42" s="345"/>
      <c r="N42" s="346"/>
    </row>
    <row r="43" spans="1:14" ht="15.75">
      <c r="A43" s="1112">
        <f t="shared" si="0"/>
        <v>38</v>
      </c>
      <c r="B43" s="371" t="s">
        <v>262</v>
      </c>
      <c r="C43" s="438" t="str">
        <f>C42</f>
        <v>Year 2021</v>
      </c>
      <c r="D43" s="369"/>
      <c r="E43" s="355">
        <f t="shared" si="9"/>
        <v>0</v>
      </c>
      <c r="F43" s="355"/>
      <c r="G43" s="379">
        <f t="shared" si="10"/>
        <v>0</v>
      </c>
      <c r="H43" s="371"/>
      <c r="I43" s="378">
        <f t="shared" si="7"/>
        <v>0</v>
      </c>
      <c r="J43" s="378">
        <f t="shared" si="11"/>
        <v>0</v>
      </c>
      <c r="K43" s="378"/>
      <c r="L43" s="378">
        <f t="shared" si="8"/>
        <v>0</v>
      </c>
      <c r="M43" s="345"/>
      <c r="N43" s="346"/>
    </row>
    <row r="44" spans="1:14" ht="15.75">
      <c r="A44" s="1112">
        <f t="shared" si="0"/>
        <v>39</v>
      </c>
      <c r="B44" s="371" t="s">
        <v>152</v>
      </c>
      <c r="C44" s="438" t="str">
        <f t="shared" ref="C44:C49" si="12">+C43</f>
        <v>Year 2021</v>
      </c>
      <c r="D44" s="371"/>
      <c r="E44" s="355">
        <f t="shared" si="9"/>
        <v>0</v>
      </c>
      <c r="F44" s="355"/>
      <c r="G44" s="379">
        <f t="shared" si="10"/>
        <v>0</v>
      </c>
      <c r="H44" s="371"/>
      <c r="I44" s="378">
        <f t="shared" si="7"/>
        <v>0</v>
      </c>
      <c r="J44" s="378">
        <f t="shared" si="11"/>
        <v>0</v>
      </c>
      <c r="K44" s="378"/>
      <c r="L44" s="378">
        <f t="shared" si="8"/>
        <v>0</v>
      </c>
      <c r="M44" s="345"/>
      <c r="N44" s="346"/>
    </row>
    <row r="45" spans="1:14" ht="15.75">
      <c r="A45" s="1112">
        <f t="shared" si="0"/>
        <v>40</v>
      </c>
      <c r="B45" s="371" t="s">
        <v>151</v>
      </c>
      <c r="C45" s="438" t="str">
        <f t="shared" si="12"/>
        <v>Year 2021</v>
      </c>
      <c r="D45" s="371"/>
      <c r="E45" s="355">
        <f t="shared" si="9"/>
        <v>0</v>
      </c>
      <c r="F45" s="355"/>
      <c r="G45" s="379">
        <f t="shared" si="10"/>
        <v>0</v>
      </c>
      <c r="H45" s="371"/>
      <c r="I45" s="378">
        <f t="shared" si="7"/>
        <v>0</v>
      </c>
      <c r="J45" s="378">
        <f t="shared" si="11"/>
        <v>0</v>
      </c>
      <c r="K45" s="378"/>
      <c r="L45" s="378">
        <f t="shared" si="8"/>
        <v>0</v>
      </c>
      <c r="M45" s="345"/>
      <c r="N45" s="346"/>
    </row>
    <row r="46" spans="1:14" ht="15.75">
      <c r="A46" s="1112">
        <f t="shared" si="0"/>
        <v>41</v>
      </c>
      <c r="B46" s="371" t="s">
        <v>150</v>
      </c>
      <c r="C46" s="438" t="str">
        <f t="shared" si="12"/>
        <v>Year 2021</v>
      </c>
      <c r="D46" s="371"/>
      <c r="E46" s="355">
        <f t="shared" si="9"/>
        <v>0</v>
      </c>
      <c r="F46" s="355"/>
      <c r="G46" s="379">
        <f t="shared" si="10"/>
        <v>0</v>
      </c>
      <c r="H46" s="371"/>
      <c r="I46" s="378">
        <f t="shared" si="7"/>
        <v>0</v>
      </c>
      <c r="J46" s="378">
        <f t="shared" si="11"/>
        <v>0</v>
      </c>
      <c r="K46" s="378"/>
      <c r="L46" s="378">
        <f t="shared" si="8"/>
        <v>0</v>
      </c>
      <c r="M46" s="345"/>
      <c r="N46" s="346"/>
    </row>
    <row r="47" spans="1:14" ht="15.75">
      <c r="A47" s="1112">
        <f t="shared" si="0"/>
        <v>42</v>
      </c>
      <c r="B47" s="371" t="s">
        <v>161</v>
      </c>
      <c r="C47" s="438" t="str">
        <f t="shared" si="12"/>
        <v>Year 2021</v>
      </c>
      <c r="D47" s="371"/>
      <c r="E47" s="355">
        <f t="shared" si="9"/>
        <v>0</v>
      </c>
      <c r="F47" s="355"/>
      <c r="G47" s="379">
        <f t="shared" si="10"/>
        <v>0</v>
      </c>
      <c r="H47" s="371"/>
      <c r="I47" s="378">
        <f t="shared" si="7"/>
        <v>0</v>
      </c>
      <c r="J47" s="378">
        <f t="shared" si="11"/>
        <v>0</v>
      </c>
      <c r="K47" s="378"/>
      <c r="L47" s="378">
        <f t="shared" si="8"/>
        <v>0</v>
      </c>
      <c r="M47" s="345"/>
      <c r="N47" s="346"/>
    </row>
    <row r="48" spans="1:14" ht="15.75">
      <c r="A48" s="1112">
        <f t="shared" si="0"/>
        <v>43</v>
      </c>
      <c r="B48" s="371" t="s">
        <v>148</v>
      </c>
      <c r="C48" s="438" t="str">
        <f t="shared" si="12"/>
        <v>Year 2021</v>
      </c>
      <c r="D48" s="371"/>
      <c r="E48" s="355">
        <f t="shared" si="9"/>
        <v>0</v>
      </c>
      <c r="F48" s="355"/>
      <c r="G48" s="379">
        <f t="shared" si="10"/>
        <v>0</v>
      </c>
      <c r="H48" s="371"/>
      <c r="I48" s="378">
        <f t="shared" si="7"/>
        <v>0</v>
      </c>
      <c r="J48" s="378">
        <f t="shared" si="11"/>
        <v>0</v>
      </c>
      <c r="K48" s="378"/>
      <c r="L48" s="378">
        <f t="shared" si="8"/>
        <v>0</v>
      </c>
      <c r="M48" s="345"/>
      <c r="N48" s="346"/>
    </row>
    <row r="49" spans="1:14" ht="15.75">
      <c r="A49" s="1112">
        <f t="shared" si="0"/>
        <v>44</v>
      </c>
      <c r="B49" s="371" t="s">
        <v>146</v>
      </c>
      <c r="C49" s="438" t="str">
        <f t="shared" si="12"/>
        <v>Year 2021</v>
      </c>
      <c r="D49" s="371"/>
      <c r="E49" s="355">
        <f t="shared" si="9"/>
        <v>0</v>
      </c>
      <c r="F49" s="355"/>
      <c r="G49" s="379">
        <f t="shared" si="10"/>
        <v>0</v>
      </c>
      <c r="H49" s="371"/>
      <c r="I49" s="366">
        <f t="shared" si="7"/>
        <v>0</v>
      </c>
      <c r="J49" s="378">
        <f t="shared" si="11"/>
        <v>0</v>
      </c>
      <c r="K49" s="378"/>
      <c r="L49" s="378">
        <f t="shared" si="8"/>
        <v>0</v>
      </c>
      <c r="M49" s="345"/>
      <c r="N49" s="346"/>
    </row>
    <row r="50" spans="1:14" ht="15.75">
      <c r="A50" s="1112">
        <f t="shared" si="0"/>
        <v>45</v>
      </c>
      <c r="B50" s="371"/>
      <c r="C50" s="371"/>
      <c r="D50" s="371"/>
      <c r="E50" s="355"/>
      <c r="F50" s="355"/>
      <c r="G50" s="379"/>
      <c r="H50" s="371"/>
      <c r="I50" s="378">
        <f>SUM(I38:I49)</f>
        <v>0</v>
      </c>
      <c r="J50" s="378"/>
      <c r="K50" s="378"/>
      <c r="L50" s="378"/>
      <c r="M50" s="345"/>
      <c r="N50" s="346"/>
    </row>
    <row r="51" spans="1:14">
      <c r="A51" s="1112">
        <f t="shared" si="0"/>
        <v>46</v>
      </c>
      <c r="B51" s="381"/>
      <c r="C51" s="381"/>
      <c r="D51" s="381"/>
      <c r="E51" s="381"/>
      <c r="F51" s="381"/>
      <c r="G51" s="381"/>
      <c r="H51" s="381"/>
      <c r="I51" s="381"/>
      <c r="J51" s="381"/>
      <c r="K51" s="381"/>
      <c r="L51" s="381"/>
      <c r="M51" s="343"/>
    </row>
    <row r="52" spans="1:14" ht="15.75">
      <c r="A52" s="1112">
        <f t="shared" si="0"/>
        <v>47</v>
      </c>
      <c r="B52" s="371" t="s">
        <v>1067</v>
      </c>
      <c r="C52" s="381"/>
      <c r="D52" s="381"/>
      <c r="E52" s="381"/>
      <c r="F52" s="381"/>
      <c r="G52" s="381"/>
      <c r="H52" s="381"/>
      <c r="I52" s="381"/>
      <c r="J52" s="385">
        <f>SUM(J38:J49)*-1</f>
        <v>0</v>
      </c>
      <c r="K52" s="381"/>
      <c r="L52" s="381"/>
      <c r="M52" s="343"/>
    </row>
    <row r="53" spans="1:14" ht="15.75">
      <c r="A53" s="1112">
        <f t="shared" si="0"/>
        <v>48</v>
      </c>
      <c r="B53" s="371" t="s">
        <v>1066</v>
      </c>
      <c r="C53" s="381"/>
      <c r="D53" s="381"/>
      <c r="E53" s="381"/>
      <c r="F53" s="381"/>
      <c r="G53" s="381"/>
      <c r="H53" s="381"/>
      <c r="I53" s="381"/>
      <c r="J53" s="385">
        <f>+H9</f>
        <v>0</v>
      </c>
      <c r="K53" s="381"/>
      <c r="L53" s="381"/>
      <c r="M53" s="343"/>
    </row>
    <row r="54" spans="1:14" ht="15.75">
      <c r="A54" s="1112">
        <f t="shared" si="0"/>
        <v>49</v>
      </c>
      <c r="B54" s="371" t="s">
        <v>267</v>
      </c>
      <c r="C54" s="381"/>
      <c r="D54" s="381"/>
      <c r="E54" s="381"/>
      <c r="F54" s="381"/>
      <c r="G54" s="381"/>
      <c r="H54" s="381"/>
      <c r="I54" s="381"/>
      <c r="J54" s="385">
        <f>(J52+J53)</f>
        <v>0</v>
      </c>
      <c r="K54" s="381"/>
      <c r="L54" s="381"/>
      <c r="M54" s="343"/>
    </row>
    <row r="55" spans="1:14" ht="15.75">
      <c r="A55" s="1112"/>
      <c r="B55" s="371"/>
      <c r="C55" s="381"/>
      <c r="D55" s="381"/>
      <c r="E55" s="381"/>
      <c r="F55" s="381"/>
      <c r="G55" s="381"/>
      <c r="H55" s="381"/>
      <c r="I55" s="381"/>
      <c r="J55" s="385"/>
      <c r="K55" s="381"/>
      <c r="L55" s="381"/>
      <c r="M55" s="343"/>
    </row>
    <row r="56" spans="1:14" ht="15.75">
      <c r="B56" s="371" t="s">
        <v>642</v>
      </c>
    </row>
    <row r="57" spans="1:14" ht="15.75">
      <c r="B57" s="371" t="s">
        <v>1059</v>
      </c>
      <c r="C57" s="367"/>
      <c r="D57" s="367"/>
      <c r="E57" s="367"/>
      <c r="F57" s="367"/>
      <c r="G57" s="594"/>
      <c r="H57" s="367"/>
      <c r="I57" s="367"/>
      <c r="J57" s="595"/>
      <c r="K57" s="367"/>
      <c r="L57" s="367"/>
    </row>
    <row r="58" spans="1:14" ht="15.75">
      <c r="B58" s="371" t="s">
        <v>1061</v>
      </c>
      <c r="C58" s="367"/>
      <c r="D58" s="367"/>
      <c r="E58" s="367"/>
      <c r="F58" s="367"/>
      <c r="G58" s="367"/>
      <c r="H58" s="367"/>
      <c r="I58" s="367"/>
      <c r="J58" s="367"/>
      <c r="K58" s="367"/>
      <c r="L58" s="367"/>
    </row>
    <row r="59" spans="1:14" ht="15.75">
      <c r="B59" s="371" t="s">
        <v>1060</v>
      </c>
      <c r="G59" s="347"/>
      <c r="J59" s="348"/>
    </row>
    <row r="60" spans="1:14" ht="15.75">
      <c r="B60" s="371" t="s">
        <v>1065</v>
      </c>
      <c r="E60" s="349"/>
      <c r="G60" s="347"/>
      <c r="J60" s="348"/>
    </row>
    <row r="61" spans="1:14">
      <c r="J61" s="349"/>
    </row>
    <row r="63" spans="1:14" ht="16.5">
      <c r="B63" s="593"/>
    </row>
  </sheetData>
  <mergeCells count="3">
    <mergeCell ref="B1:L1"/>
    <mergeCell ref="B2:L2"/>
    <mergeCell ref="B3:L3"/>
  </mergeCells>
  <phoneticPr fontId="60" type="noConversion"/>
  <pageMargins left="0.75" right="0.75" top="1" bottom="1" header="0.5" footer="0.5"/>
  <pageSetup scale="4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sheetPr>
  <dimension ref="A1:P240"/>
  <sheetViews>
    <sheetView view="pageBreakPreview" zoomScale="60" zoomScaleNormal="100" workbookViewId="0"/>
  </sheetViews>
  <sheetFormatPr defaultRowHeight="15"/>
  <cols>
    <col min="1" max="1" width="6.5546875" style="876" customWidth="1"/>
    <col min="2" max="2" width="2.77734375" style="876" customWidth="1"/>
    <col min="3" max="3" width="7.5546875" customWidth="1"/>
    <col min="4" max="4" width="50.77734375" customWidth="1"/>
    <col min="5" max="5" width="8.77734375" bestFit="1" customWidth="1"/>
    <col min="6" max="6" width="25" customWidth="1"/>
    <col min="9" max="9" width="23" style="162" customWidth="1"/>
    <col min="10" max="10" width="25.77734375" style="162" customWidth="1"/>
    <col min="11" max="11" width="13.77734375" style="162" customWidth="1"/>
  </cols>
  <sheetData>
    <row r="1" spans="1:16" ht="15.75">
      <c r="C1" s="853"/>
      <c r="D1" s="853"/>
      <c r="E1" s="853"/>
      <c r="F1" s="853"/>
      <c r="I1" s="572"/>
      <c r="J1" s="19"/>
      <c r="K1" s="573"/>
    </row>
    <row r="2" spans="1:16" ht="15.75">
      <c r="C2" s="853"/>
      <c r="D2" s="853"/>
      <c r="E2" s="853"/>
      <c r="F2" s="853"/>
      <c r="I2" s="572"/>
      <c r="J2" s="576"/>
      <c r="K2" s="574"/>
    </row>
    <row r="3" spans="1:16">
      <c r="C3" s="853"/>
      <c r="D3" s="853"/>
      <c r="E3" s="853"/>
      <c r="F3" s="853"/>
      <c r="I3" s="575"/>
      <c r="J3" s="576"/>
      <c r="K3" s="574"/>
    </row>
    <row r="4" spans="1:16" ht="15.75">
      <c r="C4" s="1613" t="s">
        <v>528</v>
      </c>
      <c r="D4" s="1613"/>
      <c r="E4" s="1613"/>
      <c r="F4" s="1613"/>
      <c r="I4" s="575"/>
      <c r="J4" s="576"/>
      <c r="K4" s="574"/>
    </row>
    <row r="5" spans="1:16" ht="15.75">
      <c r="C5" s="1613" t="s">
        <v>491</v>
      </c>
      <c r="D5" s="1613"/>
      <c r="E5" s="1613"/>
      <c r="F5" s="1613"/>
      <c r="I5" s="575"/>
      <c r="J5" s="576"/>
      <c r="K5" s="574"/>
    </row>
    <row r="6" spans="1:16" ht="15.75">
      <c r="C6" s="853"/>
      <c r="D6" s="854"/>
      <c r="E6" s="854"/>
      <c r="F6" s="854"/>
      <c r="G6" s="449"/>
      <c r="H6" s="449"/>
      <c r="I6" s="575"/>
      <c r="J6" s="577"/>
      <c r="K6" s="574"/>
      <c r="L6" s="449"/>
      <c r="M6" s="449"/>
      <c r="N6" s="449"/>
      <c r="O6" s="449"/>
      <c r="P6" s="449"/>
    </row>
    <row r="7" spans="1:16">
      <c r="A7" s="876" t="s">
        <v>15</v>
      </c>
      <c r="C7" s="854" t="s">
        <v>529</v>
      </c>
      <c r="D7" s="854" t="s">
        <v>530</v>
      </c>
      <c r="F7" s="854" t="s">
        <v>531</v>
      </c>
      <c r="I7" s="575"/>
      <c r="J7" s="577"/>
      <c r="K7" s="574"/>
    </row>
    <row r="8" spans="1:16" ht="15.75">
      <c r="C8" s="1465" t="s">
        <v>1027</v>
      </c>
      <c r="D8" s="854"/>
      <c r="E8" s="854"/>
      <c r="F8" s="854"/>
      <c r="I8" s="575"/>
      <c r="J8" s="576"/>
      <c r="K8" s="574"/>
    </row>
    <row r="9" spans="1:16">
      <c r="A9" s="876">
        <v>1</v>
      </c>
      <c r="C9" s="873">
        <v>350</v>
      </c>
      <c r="D9" s="854" t="s">
        <v>532</v>
      </c>
      <c r="F9" s="869">
        <v>2.56</v>
      </c>
      <c r="I9" s="575"/>
      <c r="J9" s="576"/>
      <c r="K9" s="574"/>
    </row>
    <row r="10" spans="1:16">
      <c r="A10" s="876">
        <f>+A9+1</f>
        <v>2</v>
      </c>
      <c r="C10" s="873" t="s">
        <v>961</v>
      </c>
      <c r="D10" s="854" t="s">
        <v>533</v>
      </c>
      <c r="F10" s="869">
        <v>1.78</v>
      </c>
      <c r="I10" s="575"/>
      <c r="J10" s="576"/>
      <c r="K10" s="574"/>
    </row>
    <row r="11" spans="1:16">
      <c r="A11" s="876">
        <f t="shared" ref="A11:A38" si="0">+A10+1</f>
        <v>3</v>
      </c>
      <c r="C11" s="873" t="s">
        <v>962</v>
      </c>
      <c r="D11" s="854" t="s">
        <v>534</v>
      </c>
      <c r="F11" s="869">
        <v>1.86</v>
      </c>
      <c r="I11" s="575"/>
      <c r="J11" s="576"/>
      <c r="K11" s="574"/>
    </row>
    <row r="12" spans="1:16">
      <c r="A12" s="876">
        <f t="shared" si="0"/>
        <v>4</v>
      </c>
      <c r="C12" s="873" t="s">
        <v>960</v>
      </c>
      <c r="D12" s="854" t="s">
        <v>535</v>
      </c>
      <c r="F12" s="869">
        <v>2.76</v>
      </c>
      <c r="I12" s="575"/>
      <c r="J12" s="576"/>
      <c r="K12" s="574"/>
    </row>
    <row r="13" spans="1:16">
      <c r="A13" s="876">
        <f>+A12+1</f>
        <v>5</v>
      </c>
      <c r="C13" s="873" t="s">
        <v>963</v>
      </c>
      <c r="D13" s="854" t="str">
        <f>+D12</f>
        <v xml:space="preserve"> Station Equipment </v>
      </c>
      <c r="F13" s="869">
        <v>1.65</v>
      </c>
      <c r="I13" s="575"/>
      <c r="J13" s="576"/>
      <c r="K13" s="574"/>
    </row>
    <row r="14" spans="1:16">
      <c r="A14" s="876">
        <f>+A13+1</f>
        <v>6</v>
      </c>
      <c r="C14" s="873" t="s">
        <v>536</v>
      </c>
      <c r="D14" s="854" t="s">
        <v>537</v>
      </c>
      <c r="F14" s="869">
        <v>2.04</v>
      </c>
      <c r="I14" s="575"/>
      <c r="J14" s="576"/>
      <c r="K14" s="574"/>
    </row>
    <row r="15" spans="1:16">
      <c r="A15" s="876">
        <f t="shared" si="0"/>
        <v>7</v>
      </c>
      <c r="C15" s="873" t="s">
        <v>538</v>
      </c>
      <c r="D15" s="854" t="s">
        <v>539</v>
      </c>
      <c r="F15" s="869">
        <v>3.09</v>
      </c>
      <c r="I15" s="575"/>
      <c r="J15" s="576"/>
      <c r="K15" s="574"/>
    </row>
    <row r="16" spans="1:16">
      <c r="A16" s="876">
        <f t="shared" si="0"/>
        <v>8</v>
      </c>
      <c r="C16" s="873" t="s">
        <v>540</v>
      </c>
      <c r="D16" s="854" t="s">
        <v>541</v>
      </c>
      <c r="F16" s="869">
        <v>2.57</v>
      </c>
      <c r="I16" s="575"/>
      <c r="J16" s="576"/>
      <c r="K16" s="574"/>
    </row>
    <row r="17" spans="1:11">
      <c r="A17" s="876">
        <f t="shared" si="0"/>
        <v>9</v>
      </c>
      <c r="C17" s="873" t="s">
        <v>542</v>
      </c>
      <c r="D17" s="854" t="s">
        <v>543</v>
      </c>
      <c r="F17" s="869">
        <v>1.68</v>
      </c>
      <c r="I17" s="575"/>
      <c r="J17" s="576"/>
      <c r="K17" s="574"/>
    </row>
    <row r="18" spans="1:11">
      <c r="A18" s="876">
        <f t="shared" si="0"/>
        <v>10</v>
      </c>
      <c r="C18" s="873" t="s">
        <v>544</v>
      </c>
      <c r="D18" s="854" t="s">
        <v>545</v>
      </c>
      <c r="F18" s="869">
        <v>1.99</v>
      </c>
      <c r="I18" s="575"/>
      <c r="J18" s="576"/>
      <c r="K18" s="574"/>
    </row>
    <row r="19" spans="1:11">
      <c r="A19" s="876">
        <f t="shared" si="0"/>
        <v>11</v>
      </c>
      <c r="C19" s="873" t="s">
        <v>546</v>
      </c>
      <c r="D19" s="854" t="s">
        <v>547</v>
      </c>
      <c r="F19" s="869">
        <v>1.93</v>
      </c>
      <c r="I19" s="575"/>
      <c r="J19" s="576"/>
      <c r="K19" s="574"/>
    </row>
    <row r="20" spans="1:11" ht="15.75">
      <c r="A20" s="876">
        <f t="shared" si="0"/>
        <v>12</v>
      </c>
      <c r="C20" s="873" t="s">
        <v>548</v>
      </c>
      <c r="D20" s="854"/>
      <c r="E20" s="854"/>
      <c r="F20" s="869"/>
      <c r="I20" s="575"/>
      <c r="J20" s="576"/>
      <c r="K20" s="574"/>
    </row>
    <row r="21" spans="1:11">
      <c r="A21" s="876">
        <f t="shared" si="0"/>
        <v>13</v>
      </c>
      <c r="C21" s="873" t="s">
        <v>549</v>
      </c>
      <c r="D21" s="854" t="s">
        <v>550</v>
      </c>
      <c r="F21" s="869" t="s">
        <v>551</v>
      </c>
      <c r="I21" s="575"/>
      <c r="J21" s="576"/>
      <c r="K21" s="574"/>
    </row>
    <row r="22" spans="1:11">
      <c r="A22" s="876">
        <f t="shared" si="0"/>
        <v>14</v>
      </c>
      <c r="C22" s="873" t="s">
        <v>552</v>
      </c>
      <c r="D22" s="854" t="s">
        <v>553</v>
      </c>
      <c r="F22" s="869" t="s">
        <v>554</v>
      </c>
      <c r="I22" s="575"/>
      <c r="J22" s="576"/>
      <c r="K22" s="574"/>
    </row>
    <row r="23" spans="1:11">
      <c r="A23" s="876">
        <f t="shared" si="0"/>
        <v>15</v>
      </c>
      <c r="C23" s="873" t="s">
        <v>555</v>
      </c>
      <c r="D23" s="854" t="s">
        <v>556</v>
      </c>
      <c r="F23" s="869" t="s">
        <v>557</v>
      </c>
      <c r="I23" s="575"/>
      <c r="J23" s="576"/>
      <c r="K23" s="574"/>
    </row>
    <row r="24" spans="1:11">
      <c r="A24" s="876">
        <f t="shared" si="0"/>
        <v>16</v>
      </c>
      <c r="C24" s="873" t="s">
        <v>558</v>
      </c>
      <c r="D24" s="854" t="s">
        <v>559</v>
      </c>
      <c r="F24" s="869" t="s">
        <v>560</v>
      </c>
      <c r="I24" s="575"/>
      <c r="J24" s="576"/>
      <c r="K24" s="574"/>
    </row>
    <row r="25" spans="1:11">
      <c r="A25" s="876">
        <f t="shared" si="0"/>
        <v>17</v>
      </c>
      <c r="C25" s="873" t="s">
        <v>561</v>
      </c>
      <c r="D25" s="854" t="s">
        <v>562</v>
      </c>
      <c r="F25" s="869" t="s">
        <v>563</v>
      </c>
      <c r="I25" s="575"/>
      <c r="J25" s="576"/>
      <c r="K25" s="574"/>
    </row>
    <row r="26" spans="1:11">
      <c r="A26" s="876">
        <f t="shared" si="0"/>
        <v>18</v>
      </c>
      <c r="C26" s="873" t="s">
        <v>564</v>
      </c>
      <c r="D26" s="854" t="s">
        <v>565</v>
      </c>
      <c r="F26" s="869" t="s">
        <v>566</v>
      </c>
      <c r="I26" s="575"/>
      <c r="J26" s="576"/>
      <c r="K26" s="574"/>
    </row>
    <row r="27" spans="1:11">
      <c r="A27" s="876">
        <f t="shared" si="0"/>
        <v>19</v>
      </c>
      <c r="C27" s="873" t="s">
        <v>567</v>
      </c>
      <c r="D27" s="854" t="s">
        <v>568</v>
      </c>
      <c r="F27" s="869" t="s">
        <v>569</v>
      </c>
      <c r="I27" s="575"/>
      <c r="J27" s="576"/>
      <c r="K27" s="574"/>
    </row>
    <row r="28" spans="1:11">
      <c r="A28" s="876">
        <f t="shared" si="0"/>
        <v>20</v>
      </c>
      <c r="C28" s="873" t="s">
        <v>570</v>
      </c>
      <c r="D28" s="854" t="s">
        <v>571</v>
      </c>
      <c r="F28" s="1145">
        <v>6.74</v>
      </c>
      <c r="I28" s="575"/>
      <c r="J28" s="576"/>
      <c r="K28" s="574"/>
    </row>
    <row r="29" spans="1:11">
      <c r="A29" s="876">
        <f t="shared" ref="A29:A34" si="1">+A28+1</f>
        <v>21</v>
      </c>
      <c r="C29" s="873" t="s">
        <v>572</v>
      </c>
      <c r="D29" s="854" t="s">
        <v>573</v>
      </c>
      <c r="F29" s="869"/>
      <c r="I29" s="575"/>
      <c r="J29" s="576"/>
      <c r="K29" s="574"/>
    </row>
    <row r="30" spans="1:11">
      <c r="A30" s="876">
        <f t="shared" si="1"/>
        <v>22</v>
      </c>
      <c r="C30" s="873"/>
      <c r="D30" s="854" t="s">
        <v>581</v>
      </c>
      <c r="F30" s="1145">
        <v>20</v>
      </c>
      <c r="I30" s="575"/>
      <c r="J30" s="576"/>
      <c r="K30" s="574"/>
    </row>
    <row r="31" spans="1:11">
      <c r="A31" s="876">
        <f t="shared" si="1"/>
        <v>23</v>
      </c>
      <c r="C31" s="873"/>
      <c r="D31" s="854" t="s">
        <v>582</v>
      </c>
      <c r="F31" s="1145">
        <v>10</v>
      </c>
      <c r="I31" s="575"/>
      <c r="J31" s="576"/>
      <c r="K31" s="574"/>
    </row>
    <row r="32" spans="1:11">
      <c r="A32" s="876">
        <f t="shared" si="1"/>
        <v>24</v>
      </c>
      <c r="C32" s="873"/>
      <c r="D32" s="854" t="s">
        <v>750</v>
      </c>
      <c r="F32" s="1145">
        <v>5</v>
      </c>
      <c r="I32" s="575"/>
      <c r="J32" s="576"/>
      <c r="K32" s="574"/>
    </row>
    <row r="33" spans="1:11" ht="15.75">
      <c r="A33" s="876">
        <f t="shared" si="1"/>
        <v>25</v>
      </c>
      <c r="C33" s="873" t="s">
        <v>574</v>
      </c>
      <c r="D33" s="854"/>
      <c r="E33" s="854"/>
      <c r="F33" s="869"/>
      <c r="I33" s="575"/>
      <c r="J33" s="576"/>
      <c r="K33" s="574"/>
    </row>
    <row r="34" spans="1:11">
      <c r="A34" s="876">
        <f t="shared" si="1"/>
        <v>26</v>
      </c>
      <c r="C34" s="873" t="s">
        <v>575</v>
      </c>
      <c r="D34" s="854" t="s">
        <v>576</v>
      </c>
      <c r="F34" s="869"/>
      <c r="I34" s="575"/>
      <c r="J34" s="576"/>
      <c r="K34" s="574"/>
    </row>
    <row r="35" spans="1:11">
      <c r="A35" s="1144">
        <f t="shared" si="0"/>
        <v>27</v>
      </c>
      <c r="C35" s="873"/>
      <c r="D35" s="854" t="s">
        <v>581</v>
      </c>
      <c r="F35" s="1145">
        <v>20</v>
      </c>
      <c r="I35" s="575"/>
      <c r="J35" s="576"/>
      <c r="K35" s="574"/>
    </row>
    <row r="36" spans="1:11">
      <c r="A36" s="1144">
        <f t="shared" si="0"/>
        <v>28</v>
      </c>
      <c r="C36" s="873"/>
      <c r="D36" s="854" t="s">
        <v>580</v>
      </c>
      <c r="F36" s="1145">
        <v>14.285714285714286</v>
      </c>
      <c r="I36" s="575"/>
      <c r="J36" s="576"/>
      <c r="K36" s="574"/>
    </row>
    <row r="37" spans="1:11">
      <c r="A37" s="1144">
        <f t="shared" si="0"/>
        <v>29</v>
      </c>
      <c r="C37" s="873"/>
      <c r="D37" s="854" t="s">
        <v>582</v>
      </c>
      <c r="F37" s="1145">
        <v>10</v>
      </c>
      <c r="I37" s="575"/>
      <c r="J37" s="576"/>
      <c r="K37" s="574"/>
    </row>
    <row r="38" spans="1:11">
      <c r="A38" s="1144">
        <f t="shared" si="0"/>
        <v>30</v>
      </c>
      <c r="D38" s="874" t="s">
        <v>583</v>
      </c>
      <c r="E38" s="854"/>
      <c r="F38" s="872" t="s">
        <v>577</v>
      </c>
      <c r="I38" s="575"/>
      <c r="J38" s="576"/>
      <c r="K38" s="574"/>
    </row>
    <row r="39" spans="1:11">
      <c r="A39" s="1144"/>
      <c r="C39" s="854"/>
      <c r="D39" s="854"/>
      <c r="E39" s="854"/>
      <c r="F39" s="854"/>
      <c r="I39" s="575"/>
      <c r="J39" s="576"/>
      <c r="K39" s="574"/>
    </row>
    <row r="40" spans="1:11">
      <c r="A40" s="1144"/>
      <c r="D40" s="854"/>
      <c r="E40" s="854"/>
      <c r="F40" s="854"/>
      <c r="I40" s="575"/>
      <c r="J40" s="576"/>
      <c r="K40" s="574"/>
    </row>
    <row r="41" spans="1:11" ht="16.5" customHeight="1">
      <c r="A41" s="1144"/>
      <c r="C41" s="1614" t="s">
        <v>1055</v>
      </c>
      <c r="D41" s="1614"/>
      <c r="E41" s="1614"/>
      <c r="F41" s="1614"/>
      <c r="I41" s="575"/>
      <c r="J41" s="576"/>
      <c r="K41" s="574"/>
    </row>
    <row r="42" spans="1:11" ht="15.75" customHeight="1">
      <c r="A42" s="1144"/>
      <c r="C42" s="1614"/>
      <c r="D42" s="1614"/>
      <c r="E42" s="1614"/>
      <c r="F42" s="1614"/>
      <c r="I42" s="575"/>
      <c r="K42" s="574"/>
    </row>
    <row r="43" spans="1:11" ht="15.75" customHeight="1">
      <c r="A43" s="1144"/>
      <c r="C43" s="1614"/>
      <c r="D43" s="1614"/>
      <c r="E43" s="1614"/>
      <c r="F43" s="1614"/>
      <c r="I43" s="575"/>
      <c r="J43" s="576"/>
      <c r="K43" s="574"/>
    </row>
    <row r="44" spans="1:11" ht="69" customHeight="1">
      <c r="A44" s="1144"/>
      <c r="C44" s="1614"/>
      <c r="D44" s="1614"/>
      <c r="E44" s="1614"/>
      <c r="F44" s="1614"/>
      <c r="I44" s="575"/>
      <c r="J44" s="576"/>
      <c r="K44" s="574"/>
    </row>
    <row r="45" spans="1:11" ht="15.75">
      <c r="A45" s="1144"/>
      <c r="C45" s="1467"/>
      <c r="D45" s="1468"/>
      <c r="E45" s="854"/>
      <c r="I45" s="575"/>
      <c r="J45" s="576"/>
      <c r="K45" s="574"/>
    </row>
    <row r="46" spans="1:11">
      <c r="A46" s="1144"/>
      <c r="C46" s="1469"/>
      <c r="D46" s="1468"/>
      <c r="E46" s="854"/>
      <c r="I46" s="575"/>
      <c r="J46" s="576"/>
      <c r="K46" s="574"/>
    </row>
    <row r="47" spans="1:11">
      <c r="A47" s="1144"/>
      <c r="C47" s="854" t="s">
        <v>578</v>
      </c>
      <c r="D47" s="854"/>
      <c r="E47" s="854"/>
      <c r="I47" s="575"/>
      <c r="J47" s="576"/>
      <c r="K47" s="574"/>
    </row>
    <row r="48" spans="1:11">
      <c r="A48" s="1144"/>
      <c r="C48" s="853"/>
      <c r="D48" s="853"/>
      <c r="E48" s="853"/>
      <c r="I48" s="575"/>
      <c r="J48" s="576"/>
      <c r="K48" s="574"/>
    </row>
    <row r="49" spans="1:11" s="849" customFormat="1" ht="15.75">
      <c r="A49" s="877"/>
      <c r="B49" s="877"/>
      <c r="I49" s="850"/>
      <c r="J49" s="850"/>
      <c r="K49" s="850"/>
    </row>
    <row r="50" spans="1:11" s="849" customFormat="1" ht="15.75">
      <c r="A50" s="877"/>
      <c r="B50" s="877"/>
      <c r="I50" s="850"/>
      <c r="J50" s="850"/>
      <c r="K50" s="850"/>
    </row>
    <row r="51" spans="1:11" s="849" customFormat="1" ht="15.75">
      <c r="A51" s="877"/>
      <c r="B51" s="877"/>
      <c r="I51" s="850"/>
      <c r="J51" s="850"/>
      <c r="K51" s="850"/>
    </row>
    <row r="52" spans="1:11" s="849" customFormat="1" ht="15.75">
      <c r="A52" s="877"/>
      <c r="B52" s="877"/>
      <c r="I52" s="850"/>
      <c r="J52" s="850"/>
      <c r="K52" s="850"/>
    </row>
    <row r="53" spans="1:11" s="849" customFormat="1" ht="15.75">
      <c r="A53" s="877"/>
      <c r="B53" s="877"/>
      <c r="I53" s="850"/>
      <c r="J53" s="850"/>
      <c r="K53" s="850"/>
    </row>
    <row r="54" spans="1:11" s="849" customFormat="1" ht="15.75">
      <c r="A54" s="877"/>
      <c r="B54" s="877"/>
      <c r="I54" s="850"/>
      <c r="J54" s="850"/>
      <c r="K54" s="850"/>
    </row>
    <row r="55" spans="1:11" s="849" customFormat="1" ht="15.75">
      <c r="A55" s="877"/>
      <c r="B55" s="877"/>
      <c r="I55" s="850"/>
      <c r="J55" s="850"/>
      <c r="K55" s="850"/>
    </row>
    <row r="56" spans="1:11" s="849" customFormat="1" ht="15.75">
      <c r="A56" s="877"/>
      <c r="B56" s="877"/>
      <c r="I56" s="850"/>
      <c r="J56" s="850"/>
      <c r="K56" s="850"/>
    </row>
    <row r="57" spans="1:11" s="849" customFormat="1" ht="15.75">
      <c r="A57" s="877"/>
      <c r="B57" s="877"/>
      <c r="I57" s="850"/>
      <c r="J57" s="850"/>
      <c r="K57" s="850"/>
    </row>
    <row r="58" spans="1:11" s="849" customFormat="1" ht="15.75">
      <c r="A58" s="877"/>
      <c r="B58" s="877"/>
      <c r="I58" s="850"/>
      <c r="J58" s="850"/>
      <c r="K58" s="850"/>
    </row>
    <row r="59" spans="1:11" s="849" customFormat="1" ht="15.75">
      <c r="A59" s="877"/>
      <c r="B59" s="877"/>
      <c r="I59" s="850"/>
      <c r="J59" s="850"/>
      <c r="K59" s="850"/>
    </row>
    <row r="60" spans="1:11" s="849" customFormat="1" ht="15.75">
      <c r="A60" s="877"/>
      <c r="B60" s="877"/>
      <c r="I60" s="850"/>
      <c r="J60" s="850"/>
      <c r="K60" s="850"/>
    </row>
    <row r="61" spans="1:11" s="849" customFormat="1" ht="15.75">
      <c r="A61" s="877"/>
      <c r="B61" s="877"/>
      <c r="I61" s="850"/>
      <c r="J61" s="850"/>
      <c r="K61" s="850"/>
    </row>
    <row r="62" spans="1:11" s="849" customFormat="1" ht="15.75">
      <c r="A62" s="877"/>
      <c r="B62" s="877"/>
      <c r="I62" s="850"/>
      <c r="J62" s="850"/>
      <c r="K62" s="850"/>
    </row>
    <row r="63" spans="1:11" s="849" customFormat="1" ht="15.75">
      <c r="A63" s="877"/>
      <c r="B63" s="877"/>
      <c r="I63" s="850"/>
      <c r="J63" s="850"/>
      <c r="K63" s="850"/>
    </row>
    <row r="64" spans="1:11" s="849" customFormat="1" ht="15.75">
      <c r="A64" s="877"/>
      <c r="B64" s="877"/>
      <c r="I64" s="850"/>
      <c r="J64" s="850"/>
      <c r="K64" s="850"/>
    </row>
    <row r="65" spans="1:11" s="849" customFormat="1" ht="15.75">
      <c r="A65" s="877"/>
      <c r="B65" s="877"/>
      <c r="I65" s="850"/>
      <c r="J65" s="850"/>
      <c r="K65" s="850"/>
    </row>
    <row r="66" spans="1:11" s="849" customFormat="1" ht="15.75">
      <c r="A66" s="877"/>
      <c r="B66" s="877"/>
      <c r="I66" s="850"/>
      <c r="J66" s="850"/>
      <c r="K66" s="850"/>
    </row>
    <row r="67" spans="1:11" s="849" customFormat="1" ht="15.75">
      <c r="A67" s="877"/>
      <c r="B67" s="877"/>
      <c r="I67" s="850"/>
      <c r="J67" s="850"/>
      <c r="K67" s="850"/>
    </row>
    <row r="68" spans="1:11" s="849" customFormat="1" ht="15.75">
      <c r="A68" s="877"/>
      <c r="B68" s="877"/>
      <c r="I68" s="850"/>
      <c r="J68" s="850"/>
      <c r="K68" s="850"/>
    </row>
    <row r="69" spans="1:11" s="849" customFormat="1" ht="15.75">
      <c r="A69" s="877"/>
      <c r="B69" s="877"/>
      <c r="I69" s="850"/>
      <c r="J69" s="850"/>
      <c r="K69" s="850"/>
    </row>
    <row r="70" spans="1:11" s="849" customFormat="1" ht="15.75">
      <c r="A70" s="877"/>
      <c r="B70" s="877"/>
      <c r="I70" s="850"/>
      <c r="J70" s="850"/>
      <c r="K70" s="850"/>
    </row>
    <row r="71" spans="1:11" s="849" customFormat="1" ht="15.75">
      <c r="A71" s="877"/>
      <c r="B71" s="877"/>
      <c r="I71" s="850"/>
      <c r="J71" s="850"/>
      <c r="K71" s="850"/>
    </row>
    <row r="72" spans="1:11" s="849" customFormat="1" ht="15.75">
      <c r="A72" s="877"/>
      <c r="B72" s="877"/>
      <c r="I72" s="850"/>
      <c r="J72" s="850"/>
      <c r="K72" s="850"/>
    </row>
    <row r="73" spans="1:11" s="849" customFormat="1" ht="15.75">
      <c r="A73" s="877"/>
      <c r="B73" s="877"/>
      <c r="I73" s="850"/>
      <c r="J73" s="850"/>
      <c r="K73" s="850"/>
    </row>
    <row r="74" spans="1:11" s="849" customFormat="1" ht="15.75">
      <c r="A74" s="877"/>
      <c r="B74" s="877"/>
      <c r="I74" s="850"/>
      <c r="J74" s="850"/>
      <c r="K74" s="850"/>
    </row>
    <row r="75" spans="1:11" s="849" customFormat="1" ht="15.75">
      <c r="A75" s="877"/>
      <c r="B75" s="877"/>
      <c r="I75" s="850"/>
      <c r="J75" s="850"/>
      <c r="K75" s="850"/>
    </row>
    <row r="76" spans="1:11" s="849" customFormat="1" ht="15.75">
      <c r="A76" s="877"/>
      <c r="B76" s="877"/>
      <c r="I76" s="850"/>
      <c r="J76" s="850"/>
      <c r="K76" s="850"/>
    </row>
    <row r="77" spans="1:11" s="849" customFormat="1" ht="15.75">
      <c r="A77" s="877"/>
      <c r="B77" s="877"/>
      <c r="I77" s="850"/>
      <c r="J77" s="850"/>
      <c r="K77" s="850"/>
    </row>
    <row r="78" spans="1:11" s="849" customFormat="1" ht="15.75">
      <c r="A78" s="877"/>
      <c r="B78" s="877"/>
      <c r="I78" s="850"/>
      <c r="J78" s="850"/>
      <c r="K78" s="850"/>
    </row>
    <row r="79" spans="1:11" ht="16.5">
      <c r="K79" s="578"/>
    </row>
    <row r="80" spans="1:11" ht="16.5">
      <c r="K80" s="578"/>
    </row>
    <row r="81" spans="11:11" ht="16.5">
      <c r="K81" s="578"/>
    </row>
    <row r="82" spans="11:11" ht="16.5">
      <c r="K82" s="578"/>
    </row>
    <row r="83" spans="11:11" ht="16.5">
      <c r="K83" s="578"/>
    </row>
    <row r="84" spans="11:11" ht="16.5">
      <c r="K84" s="578"/>
    </row>
    <row r="85" spans="11:11" ht="16.5">
      <c r="K85" s="578"/>
    </row>
    <row r="240" spans="9:9">
      <c r="I240" s="860"/>
    </row>
  </sheetData>
  <mergeCells count="3">
    <mergeCell ref="C4:F4"/>
    <mergeCell ref="C5:F5"/>
    <mergeCell ref="C41:F44"/>
  </mergeCells>
  <phoneticPr fontId="60" type="noConversion"/>
  <pageMargins left="0.7" right="0.7" top="0.75" bottom="0.75" header="0.3" footer="0.3"/>
  <pageSetup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2:Q67"/>
  <sheetViews>
    <sheetView view="pageBreakPreview" topLeftCell="A16" zoomScale="60" zoomScaleNormal="100" workbookViewId="0">
      <selection activeCell="B19" sqref="B19"/>
    </sheetView>
  </sheetViews>
  <sheetFormatPr defaultRowHeight="15"/>
  <cols>
    <col min="2" max="2" width="68.77734375" customWidth="1"/>
    <col min="3" max="3" width="22.77734375" customWidth="1"/>
    <col min="4" max="4" width="12.77734375" customWidth="1"/>
    <col min="5" max="5" width="12" style="1067" bestFit="1" customWidth="1"/>
    <col min="6" max="6" width="14.109375" bestFit="1" customWidth="1"/>
    <col min="7" max="7" width="19.77734375" customWidth="1"/>
    <col min="8" max="8" width="1.5546875" customWidth="1"/>
    <col min="9" max="9" width="8.5546875" style="1247" bestFit="1" customWidth="1"/>
    <col min="10" max="10" width="19.21875" style="1247" customWidth="1"/>
    <col min="11" max="11" width="14.77734375" style="1247" customWidth="1"/>
    <col min="12" max="13" width="8.77734375" style="1247"/>
  </cols>
  <sheetData>
    <row r="2" spans="1:17" ht="15.75">
      <c r="A2" s="1615" t="s">
        <v>1074</v>
      </c>
      <c r="B2" s="1616"/>
      <c r="C2" s="1616"/>
      <c r="D2" s="1616"/>
      <c r="E2" s="1616"/>
    </row>
    <row r="3" spans="1:17" ht="15.75">
      <c r="A3" s="1613" t="s">
        <v>491</v>
      </c>
      <c r="B3" s="1613"/>
      <c r="C3" s="1613"/>
      <c r="D3" s="1613"/>
      <c r="E3" s="1613"/>
    </row>
    <row r="5" spans="1:17">
      <c r="A5" s="1478" t="s">
        <v>1073</v>
      </c>
      <c r="B5" s="1478"/>
      <c r="E5"/>
    </row>
    <row r="6" spans="1:17">
      <c r="A6" s="1303"/>
      <c r="B6" s="1303"/>
      <c r="C6" s="1303"/>
      <c r="D6" s="1303"/>
      <c r="E6" s="1303"/>
    </row>
    <row r="7" spans="1:17">
      <c r="B7" t="s">
        <v>834</v>
      </c>
      <c r="C7" s="1069"/>
    </row>
    <row r="8" spans="1:17">
      <c r="C8" s="1069"/>
    </row>
    <row r="9" spans="1:17">
      <c r="A9" s="679">
        <v>1</v>
      </c>
      <c r="B9" s="853" t="s">
        <v>759</v>
      </c>
      <c r="C9" s="1242" t="s">
        <v>921</v>
      </c>
      <c r="D9" s="853"/>
      <c r="E9" s="1222">
        <f>+E30-E29</f>
        <v>0</v>
      </c>
      <c r="F9" s="1223"/>
      <c r="G9" s="1223"/>
      <c r="H9" s="1223"/>
      <c r="I9" s="1248"/>
      <c r="J9" s="1249"/>
      <c r="K9" s="1249"/>
      <c r="L9" s="1248"/>
      <c r="M9" s="1250"/>
      <c r="N9" s="1223"/>
      <c r="O9" s="1223"/>
      <c r="P9" s="1223"/>
      <c r="Q9" s="1223"/>
    </row>
    <row r="10" spans="1:17">
      <c r="A10" s="1068">
        <f>+A9+1</f>
        <v>2</v>
      </c>
      <c r="B10" t="s">
        <v>765</v>
      </c>
      <c r="C10" s="1069" t="s">
        <v>905</v>
      </c>
      <c r="E10" s="411">
        <f>+E65</f>
        <v>0</v>
      </c>
      <c r="F10" s="1245"/>
      <c r="G10" s="1245"/>
      <c r="H10" s="1223"/>
      <c r="I10" s="1251"/>
      <c r="J10" s="1252"/>
      <c r="K10" s="1252"/>
      <c r="L10" s="1250"/>
      <c r="M10" s="1250"/>
      <c r="N10" s="1223"/>
      <c r="O10" s="1223"/>
      <c r="P10" s="1223"/>
      <c r="Q10" s="1223"/>
    </row>
    <row r="11" spans="1:17">
      <c r="A11" s="679">
        <f>+A10+1</f>
        <v>3</v>
      </c>
      <c r="B11" t="s">
        <v>766</v>
      </c>
      <c r="C11" s="1069" t="s">
        <v>952</v>
      </c>
      <c r="E11" s="1246">
        <f>+E64</f>
        <v>0</v>
      </c>
      <c r="F11" s="1245"/>
      <c r="G11" s="1223"/>
      <c r="H11" s="1223"/>
      <c r="I11" s="1251"/>
      <c r="J11" s="1252"/>
      <c r="K11" s="1252"/>
      <c r="L11" s="1250"/>
      <c r="M11" s="1250"/>
      <c r="N11" s="1223"/>
      <c r="O11" s="1223"/>
      <c r="P11" s="1223"/>
      <c r="Q11" s="1223"/>
    </row>
    <row r="12" spans="1:17">
      <c r="A12" s="1068">
        <f>+A11+1</f>
        <v>4</v>
      </c>
      <c r="B12" t="s">
        <v>680</v>
      </c>
      <c r="C12" s="1069" t="s">
        <v>904</v>
      </c>
      <c r="E12" s="679">
        <f>IF(E11=0,0,(E9*(E10/(E10+E11))))</f>
        <v>0</v>
      </c>
      <c r="F12" s="1224"/>
      <c r="G12" s="1223"/>
      <c r="H12" s="1223"/>
      <c r="I12" s="1251"/>
      <c r="J12" s="1252"/>
      <c r="K12" s="1252"/>
      <c r="L12" s="1250"/>
      <c r="M12" s="1250"/>
      <c r="N12" s="1223"/>
      <c r="O12" s="1223"/>
      <c r="P12" s="1223"/>
      <c r="Q12" s="1223"/>
    </row>
    <row r="13" spans="1:17">
      <c r="A13" s="1068">
        <f>+A12+1</f>
        <v>5</v>
      </c>
      <c r="B13" t="s">
        <v>756</v>
      </c>
      <c r="C13" s="1069" t="s">
        <v>903</v>
      </c>
      <c r="E13" s="1222">
        <f>+C35</f>
        <v>0</v>
      </c>
      <c r="F13" s="1223"/>
      <c r="G13" s="1223"/>
      <c r="H13" s="1223"/>
      <c r="I13" s="1251"/>
      <c r="J13" s="1252"/>
      <c r="K13" s="1252"/>
      <c r="L13" s="1250"/>
      <c r="M13" s="1250"/>
      <c r="N13" s="1223"/>
      <c r="O13" s="1223"/>
      <c r="P13" s="1223"/>
      <c r="Q13" s="1223"/>
    </row>
    <row r="14" spans="1:17">
      <c r="B14" s="853" t="s">
        <v>910</v>
      </c>
      <c r="C14" s="1069"/>
      <c r="E14" s="679"/>
      <c r="F14" s="1223"/>
      <c r="G14" s="1223"/>
      <c r="H14" s="1223"/>
      <c r="I14" s="1251"/>
      <c r="J14" s="1253"/>
      <c r="K14" s="1252"/>
      <c r="L14" s="1250"/>
      <c r="M14" s="1250"/>
      <c r="N14" s="1223"/>
      <c r="O14" s="1223"/>
      <c r="P14" s="1223"/>
      <c r="Q14" s="1223"/>
    </row>
    <row r="15" spans="1:17">
      <c r="C15" s="1069"/>
      <c r="E15" s="679"/>
      <c r="F15" s="1223"/>
      <c r="G15" s="1223"/>
      <c r="H15" s="1223"/>
      <c r="I15" s="1251"/>
      <c r="J15" s="1253"/>
      <c r="K15" s="1252"/>
      <c r="L15" s="1254"/>
      <c r="M15" s="1250"/>
      <c r="N15" s="1223"/>
      <c r="O15" s="1223"/>
      <c r="P15" s="1223"/>
      <c r="Q15" s="1223"/>
    </row>
    <row r="16" spans="1:17">
      <c r="B16" t="s">
        <v>681</v>
      </c>
      <c r="C16" s="1069"/>
      <c r="E16" s="679"/>
      <c r="F16" s="1223"/>
      <c r="G16" s="1223"/>
      <c r="H16" s="1223"/>
      <c r="I16" s="1251"/>
      <c r="J16" s="1253"/>
      <c r="K16" s="1252"/>
      <c r="L16" s="1254"/>
      <c r="M16" s="1250"/>
      <c r="N16" s="1223"/>
      <c r="O16" s="1223"/>
      <c r="P16" s="1223"/>
      <c r="Q16" s="1223"/>
    </row>
    <row r="17" spans="1:17">
      <c r="A17" s="853"/>
      <c r="B17" s="853"/>
      <c r="C17" s="1242"/>
      <c r="D17" s="853"/>
      <c r="E17" s="679"/>
      <c r="F17" s="853"/>
      <c r="G17" s="1223"/>
      <c r="H17" s="1223"/>
      <c r="I17" s="1251"/>
      <c r="J17" s="1253"/>
      <c r="K17" s="1252"/>
      <c r="L17" s="1250"/>
      <c r="M17" s="1250"/>
      <c r="N17" s="1223"/>
      <c r="O17" s="1223"/>
      <c r="P17" s="1223"/>
      <c r="Q17" s="1223"/>
    </row>
    <row r="18" spans="1:17">
      <c r="A18" s="679">
        <f>+A13+1</f>
        <v>6</v>
      </c>
      <c r="B18" s="853" t="s">
        <v>902</v>
      </c>
      <c r="C18" s="1242" t="s">
        <v>901</v>
      </c>
      <c r="D18" s="853"/>
      <c r="E18" s="1222">
        <f>+E62</f>
        <v>0</v>
      </c>
      <c r="F18" s="853"/>
      <c r="I18" s="1251"/>
      <c r="J18" s="1253"/>
      <c r="K18" s="1252"/>
      <c r="L18" s="1250"/>
    </row>
    <row r="19" spans="1:17">
      <c r="A19" s="679">
        <f>+A18+1</f>
        <v>7</v>
      </c>
      <c r="B19" s="853" t="str">
        <f>+B10</f>
        <v>CEC Gross Plant Investment in CVT Project thru lease pmt to MCCT</v>
      </c>
      <c r="C19" s="1242" t="s">
        <v>900</v>
      </c>
      <c r="D19" s="853"/>
      <c r="E19" s="1222">
        <f>+E10</f>
        <v>0</v>
      </c>
      <c r="F19" s="853"/>
      <c r="I19" s="1251"/>
      <c r="J19" s="1253"/>
      <c r="K19" s="1252"/>
      <c r="L19" s="1250"/>
    </row>
    <row r="20" spans="1:17">
      <c r="A20" s="679">
        <f>+A19+1</f>
        <v>8</v>
      </c>
      <c r="B20" s="853" t="str">
        <f>+B11</f>
        <v>MCCT Gross Plant Investment in CVT Project, excluding amount leased to CEC</v>
      </c>
      <c r="C20" s="1302" t="str">
        <f>+C11</f>
        <v>Note 1, line d but for relevant period</v>
      </c>
      <c r="D20" s="853"/>
      <c r="E20" s="1241">
        <v>0</v>
      </c>
      <c r="F20" s="1230"/>
      <c r="I20" s="1250"/>
      <c r="J20" s="1255"/>
      <c r="K20" s="1255"/>
      <c r="L20" s="1250"/>
    </row>
    <row r="21" spans="1:17">
      <c r="A21" s="679">
        <f>+A20+1</f>
        <v>9</v>
      </c>
      <c r="B21" s="853" t="s">
        <v>682</v>
      </c>
      <c r="C21" s="1242" t="s">
        <v>899</v>
      </c>
      <c r="D21" s="853"/>
      <c r="E21" s="679">
        <f>IF(E20=0,0,E18*E19/(E19+E20))</f>
        <v>0</v>
      </c>
      <c r="F21" s="1237"/>
      <c r="I21" s="1256"/>
      <c r="J21" s="1256"/>
      <c r="K21" s="1254"/>
      <c r="L21" s="1256"/>
    </row>
    <row r="22" spans="1:17">
      <c r="A22" s="679">
        <f>+A21+1</f>
        <v>10</v>
      </c>
      <c r="B22" s="853" t="s">
        <v>822</v>
      </c>
      <c r="C22" s="1242" t="s">
        <v>898</v>
      </c>
      <c r="D22" s="853"/>
      <c r="E22" s="1222">
        <f>+D36</f>
        <v>0</v>
      </c>
      <c r="F22" s="853"/>
      <c r="I22" s="1248"/>
      <c r="J22" s="1249"/>
      <c r="K22" s="1252"/>
      <c r="L22" s="1249"/>
    </row>
    <row r="23" spans="1:17">
      <c r="A23" s="679"/>
      <c r="B23" s="853" t="s">
        <v>911</v>
      </c>
      <c r="C23" s="853"/>
      <c r="D23" s="853"/>
      <c r="E23" s="679"/>
      <c r="F23" s="853"/>
      <c r="I23" s="1248"/>
      <c r="J23" s="1249"/>
      <c r="K23" s="1252"/>
      <c r="L23" s="1257"/>
    </row>
    <row r="24" spans="1:17">
      <c r="K24" s="1258"/>
      <c r="L24" s="1257"/>
    </row>
    <row r="25" spans="1:17">
      <c r="B25" t="s">
        <v>836</v>
      </c>
      <c r="D25" s="1231" t="s">
        <v>117</v>
      </c>
      <c r="E25" s="1234" t="s">
        <v>757</v>
      </c>
      <c r="F25" s="1235" t="s">
        <v>21</v>
      </c>
      <c r="G25" s="1069"/>
      <c r="H25" s="1069"/>
      <c r="K25" s="1258"/>
      <c r="L25" s="1249"/>
    </row>
    <row r="26" spans="1:17">
      <c r="F26" s="1069"/>
      <c r="G26" s="1069"/>
      <c r="H26" s="1069"/>
      <c r="J26" s="1249"/>
      <c r="K26" s="1252"/>
      <c r="L26" s="1249"/>
    </row>
    <row r="27" spans="1:17">
      <c r="A27" s="679">
        <f>+A22+1</f>
        <v>11</v>
      </c>
      <c r="B27" s="853" t="s">
        <v>934</v>
      </c>
      <c r="C27" s="1230"/>
      <c r="D27" s="1066"/>
      <c r="E27" s="1241">
        <v>0</v>
      </c>
      <c r="F27" s="1222">
        <f>+D27+E27</f>
        <v>0</v>
      </c>
      <c r="G27" s="1069"/>
      <c r="H27" s="1069"/>
      <c r="J27" s="1249"/>
      <c r="K27" s="1252"/>
      <c r="L27" s="1257"/>
    </row>
    <row r="28" spans="1:17">
      <c r="A28" s="679">
        <f>+A27+1</f>
        <v>12</v>
      </c>
      <c r="B28" t="s">
        <v>683</v>
      </c>
      <c r="C28" t="s">
        <v>920</v>
      </c>
      <c r="D28" s="1241"/>
      <c r="E28" s="1241">
        <v>0</v>
      </c>
      <c r="F28" s="1222">
        <f>+D28+E28</f>
        <v>0</v>
      </c>
      <c r="G28" s="1069"/>
      <c r="H28" s="1069"/>
      <c r="K28" s="1258"/>
      <c r="L28" s="1257"/>
    </row>
    <row r="29" spans="1:17">
      <c r="A29" s="1068">
        <f>+A28+1</f>
        <v>13</v>
      </c>
      <c r="B29" t="s">
        <v>918</v>
      </c>
      <c r="C29" t="s">
        <v>951</v>
      </c>
      <c r="D29" s="1241"/>
      <c r="E29" s="1241">
        <v>0</v>
      </c>
      <c r="F29" s="1222">
        <f>+D29+E29</f>
        <v>0</v>
      </c>
      <c r="G29" s="1069"/>
      <c r="H29" s="1069"/>
      <c r="K29" s="1258"/>
      <c r="L29" s="1249"/>
    </row>
    <row r="30" spans="1:17">
      <c r="A30" s="679">
        <f>+A29+1</f>
        <v>14</v>
      </c>
      <c r="B30" t="s">
        <v>919</v>
      </c>
      <c r="D30" s="1243">
        <f>SUM(D27:D29)</f>
        <v>0</v>
      </c>
      <c r="E30" s="1243">
        <f>SUM(E27:E29)</f>
        <v>0</v>
      </c>
      <c r="F30" s="1243">
        <f>SUM(F27:F29)</f>
        <v>0</v>
      </c>
      <c r="G30" s="1069"/>
      <c r="H30" s="1069"/>
      <c r="K30" s="1258"/>
      <c r="L30" s="1249"/>
    </row>
    <row r="31" spans="1:17">
      <c r="D31" s="679"/>
      <c r="H31" s="1069"/>
      <c r="J31" s="1249"/>
      <c r="K31" s="1252"/>
      <c r="L31" s="1249"/>
    </row>
    <row r="32" spans="1:17">
      <c r="D32" s="1230"/>
      <c r="J32" s="1249"/>
      <c r="K32" s="1252"/>
      <c r="L32" s="1259"/>
    </row>
    <row r="33" spans="1:11">
      <c r="B33" s="1233" t="s">
        <v>823</v>
      </c>
      <c r="C33" s="1231" t="s">
        <v>43</v>
      </c>
      <c r="D33" s="1231" t="s">
        <v>770</v>
      </c>
      <c r="E33" s="1232" t="s">
        <v>764</v>
      </c>
      <c r="F33" s="1231" t="s">
        <v>117</v>
      </c>
      <c r="G33" s="1231" t="s">
        <v>771</v>
      </c>
    </row>
    <row r="35" spans="1:11">
      <c r="A35" s="679">
        <f>+A30+1</f>
        <v>15</v>
      </c>
      <c r="B35" t="s">
        <v>897</v>
      </c>
      <c r="C35" s="1241">
        <f>+E61</f>
        <v>0</v>
      </c>
      <c r="D35" s="1241"/>
      <c r="E35" s="1241"/>
      <c r="F35" s="1241"/>
      <c r="G35" s="1241"/>
      <c r="K35" s="1260"/>
    </row>
    <row r="36" spans="1:11">
      <c r="A36" s="1068">
        <f>+A35+1</f>
        <v>16</v>
      </c>
      <c r="B36" t="s">
        <v>896</v>
      </c>
      <c r="C36" s="1241"/>
      <c r="D36" s="1241">
        <f>+E62</f>
        <v>0</v>
      </c>
      <c r="E36" s="1241"/>
      <c r="F36" s="1241"/>
      <c r="G36" s="1241"/>
    </row>
    <row r="37" spans="1:11">
      <c r="A37" s="1068">
        <f>+A36+1</f>
        <v>17</v>
      </c>
      <c r="B37" s="1242" t="s">
        <v>895</v>
      </c>
      <c r="C37" s="1241"/>
      <c r="D37" s="1241"/>
      <c r="E37" s="1241">
        <v>0</v>
      </c>
      <c r="F37" s="1241"/>
      <c r="G37" s="1241"/>
    </row>
    <row r="38" spans="1:11">
      <c r="A38" s="1068" t="s">
        <v>931</v>
      </c>
      <c r="B38" s="1066" t="s">
        <v>684</v>
      </c>
      <c r="C38" s="1241"/>
      <c r="D38" s="1241"/>
      <c r="E38" s="1241"/>
      <c r="F38" s="1241">
        <v>0</v>
      </c>
      <c r="G38" s="1241"/>
      <c r="K38" s="1261"/>
    </row>
    <row r="39" spans="1:11">
      <c r="A39" s="1068" t="s">
        <v>932</v>
      </c>
      <c r="B39" s="1066"/>
      <c r="C39" s="1241"/>
      <c r="D39" s="1241"/>
      <c r="E39" s="1241"/>
      <c r="F39" s="1241"/>
      <c r="G39" s="1241"/>
    </row>
    <row r="40" spans="1:11">
      <c r="A40" s="1068" t="s">
        <v>933</v>
      </c>
      <c r="B40" s="1066"/>
      <c r="C40" s="1241"/>
      <c r="D40" s="1241"/>
      <c r="E40" s="1241"/>
      <c r="F40" s="1241"/>
      <c r="G40" s="1241"/>
    </row>
    <row r="41" spans="1:11">
      <c r="A41" s="1068" t="s">
        <v>685</v>
      </c>
      <c r="B41" s="1066"/>
      <c r="C41" s="1241"/>
      <c r="D41" s="1241"/>
      <c r="E41" s="1241"/>
      <c r="F41" s="1241"/>
      <c r="G41" s="1241"/>
    </row>
    <row r="42" spans="1:11">
      <c r="A42" s="1068" t="s">
        <v>382</v>
      </c>
      <c r="B42" s="1066"/>
      <c r="C42" s="1241"/>
      <c r="D42" s="1241"/>
      <c r="E42" s="1241"/>
      <c r="F42" s="1241"/>
      <c r="G42" s="1241"/>
    </row>
    <row r="43" spans="1:11" ht="15.75" thickBot="1">
      <c r="A43" s="1068">
        <f>+A37+2</f>
        <v>19</v>
      </c>
      <c r="B43" t="s">
        <v>835</v>
      </c>
      <c r="C43" s="1244">
        <f>SUM(C35:C42)</f>
        <v>0</v>
      </c>
      <c r="D43" s="1244">
        <f>SUM(D35:D42)</f>
        <v>0</v>
      </c>
      <c r="E43" s="1244">
        <f>SUM(E35:E42)</f>
        <v>0</v>
      </c>
      <c r="F43" s="1244">
        <f>SUM(F35:F42)</f>
        <v>0</v>
      </c>
      <c r="G43" s="679"/>
    </row>
    <row r="44" spans="1:11" ht="15.75" thickTop="1">
      <c r="A44" s="1068">
        <f>+A43+1</f>
        <v>20</v>
      </c>
      <c r="B44" t="s">
        <v>772</v>
      </c>
      <c r="C44" s="679">
        <f>+C43</f>
        <v>0</v>
      </c>
      <c r="D44" s="679"/>
    </row>
    <row r="45" spans="1:11">
      <c r="A45" s="1068">
        <f>+A44+1</f>
        <v>21</v>
      </c>
      <c r="B45" t="s">
        <v>824</v>
      </c>
      <c r="C45" s="679">
        <f>+D43</f>
        <v>0</v>
      </c>
      <c r="D45" s="679"/>
    </row>
    <row r="46" spans="1:11">
      <c r="A46" s="1068">
        <f>+A45+1</f>
        <v>22</v>
      </c>
      <c r="B46" t="s">
        <v>773</v>
      </c>
      <c r="C46" s="679">
        <f>+F43</f>
        <v>0</v>
      </c>
      <c r="D46" s="679"/>
    </row>
    <row r="47" spans="1:11">
      <c r="A47" s="1068">
        <f>+A46+1</f>
        <v>23</v>
      </c>
      <c r="B47" t="s">
        <v>917</v>
      </c>
      <c r="C47" s="679">
        <f>+C44+C45+C46</f>
        <v>0</v>
      </c>
      <c r="D47" s="679"/>
    </row>
    <row r="48" spans="1:11">
      <c r="A48" s="1068"/>
      <c r="C48" s="679"/>
      <c r="D48" s="679"/>
    </row>
    <row r="49" spans="1:6">
      <c r="A49" s="1068"/>
    </row>
    <row r="50" spans="1:6">
      <c r="A50" s="1068">
        <f>+A47+1</f>
        <v>24</v>
      </c>
      <c r="B50" t="str">
        <f>+B12</f>
        <v>CEC Portion of O&amp;M</v>
      </c>
      <c r="C50" t="s">
        <v>913</v>
      </c>
      <c r="D50" s="1222">
        <f>+E12</f>
        <v>0</v>
      </c>
    </row>
    <row r="51" spans="1:6">
      <c r="A51" s="1068">
        <f>+A50+1</f>
        <v>25</v>
      </c>
      <c r="B51" t="str">
        <f>+B21</f>
        <v>CEC Portion of Property Tax</v>
      </c>
      <c r="C51" t="s">
        <v>914</v>
      </c>
      <c r="D51" s="1222">
        <f>+E21</f>
        <v>0</v>
      </c>
    </row>
    <row r="52" spans="1:6">
      <c r="A52" s="1068">
        <f>+A51+1</f>
        <v>26</v>
      </c>
      <c r="B52" t="s">
        <v>21</v>
      </c>
      <c r="C52" t="s">
        <v>915</v>
      </c>
      <c r="D52" s="679">
        <f>+D50+D51</f>
        <v>0</v>
      </c>
    </row>
    <row r="53" spans="1:6">
      <c r="A53" s="1068"/>
    </row>
    <row r="54" spans="1:6">
      <c r="A54" s="679">
        <f>+A52+1</f>
        <v>27</v>
      </c>
      <c r="B54" t="s">
        <v>838</v>
      </c>
      <c r="C54" t="s">
        <v>894</v>
      </c>
      <c r="D54" s="1222">
        <f>+E63</f>
        <v>0</v>
      </c>
    </row>
    <row r="55" spans="1:6">
      <c r="A55" s="679">
        <f>+A54+1</f>
        <v>28</v>
      </c>
      <c r="B55" t="s">
        <v>686</v>
      </c>
      <c r="C55" t="s">
        <v>916</v>
      </c>
      <c r="D55" s="679">
        <f>+D54-D52</f>
        <v>0</v>
      </c>
    </row>
    <row r="58" spans="1:6">
      <c r="A58" t="s">
        <v>180</v>
      </c>
    </row>
    <row r="59" spans="1:6">
      <c r="B59" s="1233" t="s">
        <v>663</v>
      </c>
      <c r="C59" s="1231" t="s">
        <v>893</v>
      </c>
      <c r="D59" s="1231" t="s">
        <v>117</v>
      </c>
      <c r="E59" s="1235" t="s">
        <v>757</v>
      </c>
      <c r="F59" s="1235" t="s">
        <v>21</v>
      </c>
    </row>
    <row r="60" spans="1:6">
      <c r="F60" s="1069"/>
    </row>
    <row r="61" spans="1:6">
      <c r="A61" s="1265" t="s">
        <v>892</v>
      </c>
      <c r="B61" s="853" t="s">
        <v>767</v>
      </c>
      <c r="C61" s="853" t="s">
        <v>906</v>
      </c>
      <c r="D61" s="1241">
        <v>0</v>
      </c>
      <c r="E61" s="1241">
        <v>0</v>
      </c>
      <c r="F61" s="1222">
        <f>+D61+E61</f>
        <v>0</v>
      </c>
    </row>
    <row r="62" spans="1:6">
      <c r="A62" s="1265" t="s">
        <v>891</v>
      </c>
      <c r="B62" t="s">
        <v>890</v>
      </c>
      <c r="C62" s="853" t="s">
        <v>912</v>
      </c>
      <c r="D62" s="1241">
        <v>0</v>
      </c>
      <c r="E62" s="1241">
        <v>0</v>
      </c>
      <c r="F62" s="1222">
        <f>+D62+E62</f>
        <v>0</v>
      </c>
    </row>
    <row r="63" spans="1:6">
      <c r="A63" s="1265" t="s">
        <v>889</v>
      </c>
      <c r="B63" t="s">
        <v>839</v>
      </c>
      <c r="C63" s="853" t="str">
        <f>+C61</f>
        <v>Page 115, col (k)</v>
      </c>
      <c r="D63" s="1241">
        <v>0</v>
      </c>
      <c r="E63" s="1241">
        <v>0</v>
      </c>
      <c r="F63" s="1222">
        <f>+D63+E63</f>
        <v>0</v>
      </c>
    </row>
    <row r="64" spans="1:6">
      <c r="A64" s="1265" t="s">
        <v>888</v>
      </c>
      <c r="B64" t="s">
        <v>909</v>
      </c>
      <c r="C64" s="1249" t="s">
        <v>908</v>
      </c>
      <c r="D64" s="1264">
        <v>0</v>
      </c>
      <c r="E64" s="1264">
        <v>0</v>
      </c>
      <c r="F64" s="1222">
        <f>+D64+E64</f>
        <v>0</v>
      </c>
    </row>
    <row r="65" spans="1:6">
      <c r="A65" s="1265" t="s">
        <v>887</v>
      </c>
      <c r="B65" t="s">
        <v>886</v>
      </c>
      <c r="C65" s="1249" t="s">
        <v>907</v>
      </c>
      <c r="D65" s="1264">
        <v>0</v>
      </c>
      <c r="E65" s="1264">
        <v>0</v>
      </c>
      <c r="F65" s="1222">
        <f>+D65+E65</f>
        <v>0</v>
      </c>
    </row>
    <row r="66" spans="1:6">
      <c r="A66" s="1263"/>
      <c r="B66" s="1069"/>
      <c r="C66" s="1242"/>
      <c r="D66" s="1262"/>
      <c r="E66" s="1262"/>
      <c r="F66" s="1222"/>
    </row>
    <row r="67" spans="1:6">
      <c r="C67" s="853"/>
    </row>
  </sheetData>
  <mergeCells count="2">
    <mergeCell ref="A2:E2"/>
    <mergeCell ref="A3:E3"/>
  </mergeCells>
  <pageMargins left="0.25" right="0.25" top="0.75" bottom="0.75" header="0.3" footer="0.3"/>
  <pageSetup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pageSetUpPr fitToPage="1"/>
  </sheetPr>
  <dimension ref="A1:AP31"/>
  <sheetViews>
    <sheetView view="pageBreakPreview" zoomScale="60" zoomScaleNormal="100" workbookViewId="0">
      <selection activeCell="P17" sqref="P17"/>
    </sheetView>
  </sheetViews>
  <sheetFormatPr defaultColWidth="7.109375" defaultRowHeight="11.25"/>
  <cols>
    <col min="1" max="2" width="2.5546875" style="1382" customWidth="1"/>
    <col min="3" max="3" width="24" style="1362" customWidth="1"/>
    <col min="4" max="4" width="8.5546875" style="1388" customWidth="1"/>
    <col min="5" max="5" width="1.21875" style="1389" customWidth="1"/>
    <col min="6" max="6" width="8.21875" style="1390" customWidth="1"/>
    <col min="7" max="7" width="1.21875" style="1391" customWidth="1"/>
    <col min="8" max="8" width="8.21875" style="1388" customWidth="1"/>
    <col min="9" max="9" width="1.21875" style="1391" customWidth="1"/>
    <col min="10" max="10" width="7" style="1362" customWidth="1"/>
    <col min="11" max="11" width="1.21875" style="1382" customWidth="1"/>
    <col min="12" max="12" width="8.77734375" style="1388" customWidth="1"/>
    <col min="13" max="13" width="1.21875" style="1382" customWidth="1"/>
    <col min="14" max="14" width="7.77734375" style="1362" customWidth="1"/>
    <col min="15" max="15" width="1.77734375" style="1362" bestFit="1" customWidth="1"/>
    <col min="16" max="16" width="9.21875" style="1362" customWidth="1"/>
    <col min="17" max="17" width="7.109375" style="1382" customWidth="1"/>
    <col min="18" max="18" width="7.21875" style="1382" bestFit="1" customWidth="1"/>
    <col min="19" max="19" width="8.5546875" style="1382" customWidth="1"/>
    <col min="20" max="20" width="7.109375" style="1382" customWidth="1"/>
    <col min="21" max="21" width="9.21875" style="1382" customWidth="1"/>
    <col min="22" max="23" width="9" style="1382" customWidth="1"/>
    <col min="24" max="24" width="8.109375" style="1382" customWidth="1"/>
    <col min="25" max="25" width="7.5546875" style="1382" bestFit="1" customWidth="1"/>
    <col min="26" max="27" width="7.77734375" style="1382" bestFit="1" customWidth="1"/>
    <col min="28" max="28" width="7.5546875" style="1382" bestFit="1" customWidth="1"/>
    <col min="29" max="29" width="7.109375" style="1382" customWidth="1"/>
    <col min="30" max="30" width="10" style="1382" customWidth="1"/>
    <col min="31" max="31" width="1.44140625" style="1382" customWidth="1"/>
    <col min="32" max="32" width="9.21875" style="1390" customWidth="1"/>
    <col min="33" max="33" width="1.21875" style="1382" customWidth="1"/>
    <col min="34" max="34" width="11.21875" style="1362" customWidth="1"/>
    <col min="35" max="35" width="1.21875" style="1382" customWidth="1"/>
    <col min="36" max="36" width="9.21875" style="1362" customWidth="1"/>
    <col min="37" max="37" width="1.21875" style="1382" customWidth="1"/>
    <col min="38" max="38" width="10.5546875" style="1362" bestFit="1" customWidth="1"/>
    <col min="39" max="39" width="1.21875" style="1382" customWidth="1"/>
    <col min="40" max="40" width="9.77734375" style="1387" customWidth="1"/>
    <col min="41" max="41" width="1.21875" style="1382" customWidth="1"/>
    <col min="42" max="42" width="10.77734375" style="1387" bestFit="1" customWidth="1"/>
    <col min="43" max="16384" width="7.109375" style="1362"/>
  </cols>
  <sheetData>
    <row r="1" spans="1:42" ht="15">
      <c r="A1" s="1242" t="s">
        <v>1071</v>
      </c>
      <c r="B1" s="1242"/>
      <c r="C1" s="1242"/>
      <c r="D1" s="1242"/>
      <c r="Q1" s="1242" t="s">
        <v>1071</v>
      </c>
      <c r="AD1" s="1242" t="s">
        <v>1071</v>
      </c>
    </row>
    <row r="2" spans="1:42" ht="15.75">
      <c r="A2" s="1242" t="s">
        <v>1068</v>
      </c>
      <c r="B2" s="1242"/>
      <c r="C2" s="1242"/>
      <c r="D2" s="1242"/>
      <c r="Q2" s="1242" t="s">
        <v>1068</v>
      </c>
      <c r="AD2" s="1242" t="s">
        <v>1068</v>
      </c>
    </row>
    <row r="4" spans="1:42" s="1348" customFormat="1" ht="12">
      <c r="C4" s="1348" t="s">
        <v>461</v>
      </c>
      <c r="D4" s="1349" t="s">
        <v>593</v>
      </c>
      <c r="F4" s="1350" t="s">
        <v>840</v>
      </c>
      <c r="G4" s="1349"/>
      <c r="H4" s="1349" t="s">
        <v>591</v>
      </c>
      <c r="I4" s="1349"/>
      <c r="J4" s="1348" t="s">
        <v>841</v>
      </c>
      <c r="L4" s="1349" t="s">
        <v>589</v>
      </c>
      <c r="N4" s="1348" t="s">
        <v>588</v>
      </c>
      <c r="P4" s="1351" t="s">
        <v>587</v>
      </c>
      <c r="Q4" s="1351" t="s">
        <v>849</v>
      </c>
      <c r="R4" s="1351" t="s">
        <v>850</v>
      </c>
      <c r="S4" s="1351" t="s">
        <v>851</v>
      </c>
      <c r="T4" s="1351" t="s">
        <v>852</v>
      </c>
      <c r="U4" s="1351" t="s">
        <v>853</v>
      </c>
      <c r="V4" s="1351" t="s">
        <v>854</v>
      </c>
      <c r="W4" s="1351" t="s">
        <v>855</v>
      </c>
      <c r="X4" s="1351" t="s">
        <v>856</v>
      </c>
      <c r="Y4" s="1352" t="s">
        <v>857</v>
      </c>
      <c r="Z4" s="1353" t="s">
        <v>858</v>
      </c>
      <c r="AA4" s="1353" t="s">
        <v>859</v>
      </c>
      <c r="AB4" s="1348" t="s">
        <v>860</v>
      </c>
      <c r="AC4" s="1350" t="s">
        <v>861</v>
      </c>
      <c r="AD4" s="1348" t="s">
        <v>965</v>
      </c>
      <c r="AF4" s="1348" t="s">
        <v>966</v>
      </c>
      <c r="AH4" s="1348" t="s">
        <v>967</v>
      </c>
      <c r="AJ4" s="1348" t="s">
        <v>968</v>
      </c>
      <c r="AL4" s="1348" t="s">
        <v>969</v>
      </c>
      <c r="AN4" s="1348" t="s">
        <v>970</v>
      </c>
    </row>
    <row r="5" spans="1:42" s="1355" customFormat="1" ht="32.25" customHeight="1">
      <c r="A5" s="1618" t="s">
        <v>17</v>
      </c>
      <c r="B5" s="1618"/>
      <c r="C5" s="1618" t="s">
        <v>395</v>
      </c>
      <c r="D5" s="1618" t="s">
        <v>842</v>
      </c>
      <c r="E5" s="1618" t="s">
        <v>843</v>
      </c>
      <c r="F5" s="1618" t="s">
        <v>844</v>
      </c>
      <c r="G5" s="1618" t="s">
        <v>66</v>
      </c>
      <c r="H5" s="1618" t="s">
        <v>845</v>
      </c>
      <c r="I5" s="1618" t="s">
        <v>846</v>
      </c>
      <c r="J5" s="1618" t="s">
        <v>847</v>
      </c>
      <c r="K5" s="1618" t="s">
        <v>66</v>
      </c>
      <c r="L5" s="1618" t="s">
        <v>848</v>
      </c>
      <c r="M5" s="1618" t="s">
        <v>846</v>
      </c>
      <c r="N5" s="1618" t="s">
        <v>971</v>
      </c>
      <c r="O5" s="1618" t="s">
        <v>66</v>
      </c>
      <c r="P5" s="1618" t="s">
        <v>972</v>
      </c>
      <c r="Q5" s="1354" t="s">
        <v>865</v>
      </c>
      <c r="R5" s="1354" t="s">
        <v>866</v>
      </c>
      <c r="S5" s="1354" t="s">
        <v>867</v>
      </c>
      <c r="T5" s="1354" t="s">
        <v>868</v>
      </c>
      <c r="U5" s="1354" t="s">
        <v>869</v>
      </c>
      <c r="V5" s="1354" t="s">
        <v>870</v>
      </c>
      <c r="W5" s="1354" t="s">
        <v>869</v>
      </c>
      <c r="X5" s="1354" t="s">
        <v>871</v>
      </c>
      <c r="Y5" s="1354" t="s">
        <v>872</v>
      </c>
      <c r="Z5" s="1354" t="s">
        <v>873</v>
      </c>
      <c r="AA5" s="1354" t="s">
        <v>874</v>
      </c>
      <c r="AB5" s="1354" t="s">
        <v>875</v>
      </c>
      <c r="AC5" s="1354" t="s">
        <v>865</v>
      </c>
      <c r="AD5" s="1618" t="s">
        <v>973</v>
      </c>
      <c r="AE5" s="1618" t="s">
        <v>846</v>
      </c>
      <c r="AF5" s="1618" t="s">
        <v>974</v>
      </c>
      <c r="AG5" s="1618" t="s">
        <v>846</v>
      </c>
      <c r="AH5" s="1618" t="s">
        <v>975</v>
      </c>
      <c r="AI5" s="1618" t="s">
        <v>66</v>
      </c>
      <c r="AJ5" s="1618" t="s">
        <v>976</v>
      </c>
      <c r="AK5" s="1618"/>
      <c r="AL5" s="1618" t="s">
        <v>977</v>
      </c>
      <c r="AM5" s="1618"/>
      <c r="AN5" s="1618" t="s">
        <v>978</v>
      </c>
    </row>
    <row r="6" spans="1:42" s="1355" customFormat="1">
      <c r="A6" s="1618"/>
      <c r="B6" s="1618"/>
      <c r="C6" s="1618"/>
      <c r="D6" s="1618"/>
      <c r="E6" s="1618"/>
      <c r="F6" s="1618"/>
      <c r="G6" s="1618"/>
      <c r="H6" s="1618"/>
      <c r="I6" s="1618"/>
      <c r="J6" s="1618"/>
      <c r="K6" s="1618"/>
      <c r="L6" s="1618"/>
      <c r="M6" s="1618"/>
      <c r="N6" s="1618"/>
      <c r="O6" s="1618"/>
      <c r="P6" s="1618"/>
      <c r="Q6" s="1356" t="s">
        <v>1079</v>
      </c>
      <c r="R6" s="1356" t="s">
        <v>1097</v>
      </c>
      <c r="S6" s="1356" t="s">
        <v>1097</v>
      </c>
      <c r="T6" s="1356" t="s">
        <v>1097</v>
      </c>
      <c r="U6" s="1356" t="s">
        <v>1097</v>
      </c>
      <c r="V6" s="1356" t="s">
        <v>1097</v>
      </c>
      <c r="W6" s="1356" t="s">
        <v>1097</v>
      </c>
      <c r="X6" s="1356" t="s">
        <v>1097</v>
      </c>
      <c r="Y6" s="1356" t="s">
        <v>1097</v>
      </c>
      <c r="Z6" s="1356" t="s">
        <v>1097</v>
      </c>
      <c r="AA6" s="1356" t="s">
        <v>1097</v>
      </c>
      <c r="AB6" s="1356" t="s">
        <v>1097</v>
      </c>
      <c r="AC6" s="1356" t="s">
        <v>1097</v>
      </c>
      <c r="AD6" s="1618"/>
      <c r="AE6" s="1618"/>
      <c r="AF6" s="1618"/>
      <c r="AG6" s="1618"/>
      <c r="AH6" s="1618"/>
      <c r="AI6" s="1618"/>
      <c r="AJ6" s="1618"/>
      <c r="AK6" s="1618"/>
      <c r="AL6" s="1618"/>
      <c r="AM6" s="1618"/>
      <c r="AN6" s="1618"/>
    </row>
    <row r="7" spans="1:42">
      <c r="A7" s="1357">
        <v>1</v>
      </c>
      <c r="B7" s="1357"/>
      <c r="C7" s="1484" t="s">
        <v>979</v>
      </c>
      <c r="D7" s="1485">
        <v>2469088.4700000002</v>
      </c>
      <c r="E7" s="1359"/>
      <c r="F7" s="1485">
        <v>60</v>
      </c>
      <c r="G7" s="1359"/>
      <c r="H7" s="1358">
        <f t="shared" ref="H7:H16" si="0">IFERROR(D7/F7,0)</f>
        <v>41151.474500000004</v>
      </c>
      <c r="I7" s="1359"/>
      <c r="J7" s="1485">
        <v>12</v>
      </c>
      <c r="K7" s="1359"/>
      <c r="L7" s="1358">
        <f t="shared" ref="L7:L16" si="1">IFERROR(H7*J7,0)</f>
        <v>493817.69400000002</v>
      </c>
      <c r="M7" s="1360"/>
      <c r="N7" s="1419">
        <v>1</v>
      </c>
      <c r="O7" s="1359"/>
      <c r="P7" s="1358">
        <f t="shared" ref="P7:P16" si="2">IFERROR(L7*N7,0)</f>
        <v>493817.69400000002</v>
      </c>
      <c r="Q7" s="1485">
        <v>1974684</v>
      </c>
      <c r="R7" s="1486">
        <f>Q7-$H$7</f>
        <v>1933532.5255</v>
      </c>
      <c r="S7" s="1486">
        <f t="shared" ref="S7:AC7" si="3">R7-$H$7</f>
        <v>1892381.051</v>
      </c>
      <c r="T7" s="1486">
        <f t="shared" si="3"/>
        <v>1851229.5765</v>
      </c>
      <c r="U7" s="1486">
        <f t="shared" si="3"/>
        <v>1810078.102</v>
      </c>
      <c r="V7" s="1486">
        <f t="shared" si="3"/>
        <v>1768926.6274999999</v>
      </c>
      <c r="W7" s="1486">
        <f>V7-$H$7</f>
        <v>1727775.1529999999</v>
      </c>
      <c r="X7" s="1486">
        <f t="shared" si="3"/>
        <v>1686623.6784999999</v>
      </c>
      <c r="Y7" s="1486">
        <f t="shared" si="3"/>
        <v>1645472.2039999999</v>
      </c>
      <c r="Z7" s="1486">
        <f>Y7-$H$7+587</f>
        <v>1604907.7294999999</v>
      </c>
      <c r="AA7" s="1486">
        <f t="shared" si="3"/>
        <v>1563756.2549999999</v>
      </c>
      <c r="AB7" s="1486">
        <f t="shared" si="3"/>
        <v>1522604.7804999999</v>
      </c>
      <c r="AC7" s="1486">
        <f t="shared" si="3"/>
        <v>1481453.3059999999</v>
      </c>
      <c r="AD7" s="1358">
        <f t="shared" ref="AD7:AD16" si="4">SUM(Q7:AC7)/13</f>
        <v>1727955.7683846154</v>
      </c>
      <c r="AE7" s="1359"/>
      <c r="AF7" s="1419">
        <v>1</v>
      </c>
      <c r="AG7" s="1359"/>
      <c r="AH7" s="1361">
        <f t="shared" ref="AH7:AH16" si="5">N7</f>
        <v>1</v>
      </c>
      <c r="AI7" s="1357"/>
      <c r="AJ7" s="1515">
        <f t="shared" ref="AJ7:AJ16" si="6">AD7*AH7</f>
        <v>1727955.7683846154</v>
      </c>
      <c r="AK7" s="1357"/>
      <c r="AL7" s="1487">
        <v>182310</v>
      </c>
      <c r="AM7" s="1499"/>
      <c r="AN7" s="1487" t="s">
        <v>1093</v>
      </c>
      <c r="AO7" s="1362"/>
      <c r="AP7" s="1362"/>
    </row>
    <row r="8" spans="1:42">
      <c r="A8" s="1363" t="s">
        <v>313</v>
      </c>
      <c r="B8" s="1363"/>
      <c r="C8" s="1417" t="s">
        <v>1085</v>
      </c>
      <c r="D8" s="1497">
        <v>6843031.4000000004</v>
      </c>
      <c r="E8" s="1365"/>
      <c r="F8" s="1497">
        <v>57</v>
      </c>
      <c r="G8" s="1365"/>
      <c r="H8" s="1364">
        <f t="shared" si="0"/>
        <v>120053.18245614036</v>
      </c>
      <c r="I8" s="1363"/>
      <c r="J8" s="1497">
        <v>12</v>
      </c>
      <c r="K8" s="1363"/>
      <c r="L8" s="1358">
        <f t="shared" si="1"/>
        <v>1440638.1894736844</v>
      </c>
      <c r="M8" s="1367"/>
      <c r="N8" s="1419">
        <v>1</v>
      </c>
      <c r="O8" s="1363"/>
      <c r="P8" s="1364">
        <f t="shared" si="2"/>
        <v>1440638.1894736844</v>
      </c>
      <c r="Q8" s="1498">
        <v>5762552.7599999998</v>
      </c>
      <c r="R8" s="1486">
        <f>Q8-$H$8</f>
        <v>5642499.5775438594</v>
      </c>
      <c r="S8" s="1486">
        <f t="shared" ref="S8:AC8" si="7">R8-$H$8</f>
        <v>5522446.395087719</v>
      </c>
      <c r="T8" s="1486">
        <f t="shared" si="7"/>
        <v>5402393.2126315786</v>
      </c>
      <c r="U8" s="1486">
        <f t="shared" si="7"/>
        <v>5282340.0301754382</v>
      </c>
      <c r="V8" s="1486">
        <f t="shared" si="7"/>
        <v>5162286.8477192977</v>
      </c>
      <c r="W8" s="1486">
        <f t="shared" si="7"/>
        <v>5042233.6652631573</v>
      </c>
      <c r="X8" s="1486">
        <f t="shared" si="7"/>
        <v>4922180.4828070169</v>
      </c>
      <c r="Y8" s="1486">
        <f t="shared" si="7"/>
        <v>4802127.3003508765</v>
      </c>
      <c r="Z8" s="1486">
        <f t="shared" si="7"/>
        <v>4682074.1178947361</v>
      </c>
      <c r="AA8" s="1486">
        <f t="shared" si="7"/>
        <v>4562020.9354385957</v>
      </c>
      <c r="AB8" s="1486">
        <f t="shared" si="7"/>
        <v>4441967.7529824553</v>
      </c>
      <c r="AC8" s="1486">
        <f t="shared" si="7"/>
        <v>4321914.5705263149</v>
      </c>
      <c r="AD8" s="1364">
        <f t="shared" si="4"/>
        <v>5042233.6652631573</v>
      </c>
      <c r="AE8" s="1363"/>
      <c r="AF8" s="1419">
        <v>1</v>
      </c>
      <c r="AG8" s="1363"/>
      <c r="AH8" s="1370">
        <f t="shared" si="5"/>
        <v>1</v>
      </c>
      <c r="AI8" s="1363"/>
      <c r="AJ8" s="1430">
        <f t="shared" si="6"/>
        <v>5042233.6652631573</v>
      </c>
      <c r="AK8" s="1363"/>
      <c r="AL8" s="1500">
        <v>182312</v>
      </c>
      <c r="AM8" s="1501"/>
      <c r="AN8" s="1500" t="s">
        <v>1094</v>
      </c>
      <c r="AO8" s="1362"/>
      <c r="AP8" s="1362"/>
    </row>
    <row r="9" spans="1:42">
      <c r="A9" s="1363" t="s">
        <v>880</v>
      </c>
      <c r="B9" s="1363"/>
      <c r="C9" s="1417"/>
      <c r="D9" s="1366">
        <v>0</v>
      </c>
      <c r="E9" s="1365"/>
      <c r="F9" s="1366">
        <v>0</v>
      </c>
      <c r="G9" s="1365"/>
      <c r="H9" s="1364">
        <f t="shared" si="0"/>
        <v>0</v>
      </c>
      <c r="I9" s="1363"/>
      <c r="J9" s="1366"/>
      <c r="K9" s="1363"/>
      <c r="L9" s="1358">
        <f t="shared" si="1"/>
        <v>0</v>
      </c>
      <c r="M9" s="1367"/>
      <c r="N9" s="1408"/>
      <c r="O9" s="1363"/>
      <c r="P9" s="1364">
        <f t="shared" si="2"/>
        <v>0</v>
      </c>
      <c r="Q9" s="1368"/>
      <c r="R9" s="1368"/>
      <c r="S9" s="1368"/>
      <c r="T9" s="1368"/>
      <c r="U9" s="1368"/>
      <c r="V9" s="1368"/>
      <c r="W9" s="1368"/>
      <c r="X9" s="1368"/>
      <c r="Y9" s="1368"/>
      <c r="Z9" s="1368"/>
      <c r="AA9" s="1368"/>
      <c r="AB9" s="1368"/>
      <c r="AC9" s="1368"/>
      <c r="AD9" s="1369">
        <f t="shared" si="4"/>
        <v>0</v>
      </c>
      <c r="AE9" s="1363"/>
      <c r="AF9" s="1408">
        <v>0</v>
      </c>
      <c r="AG9" s="1363"/>
      <c r="AH9" s="1370">
        <f t="shared" si="5"/>
        <v>0</v>
      </c>
      <c r="AI9" s="1363"/>
      <c r="AJ9" s="1371">
        <f t="shared" si="6"/>
        <v>0</v>
      </c>
      <c r="AK9" s="1363"/>
      <c r="AL9" s="1422"/>
      <c r="AM9" s="1363"/>
      <c r="AN9" s="1422"/>
      <c r="AO9" s="1362"/>
      <c r="AP9" s="1362"/>
    </row>
    <row r="10" spans="1:42">
      <c r="A10" s="1363" t="s">
        <v>881</v>
      </c>
      <c r="B10" s="1363"/>
      <c r="C10" s="1417"/>
      <c r="D10" s="1366">
        <v>0</v>
      </c>
      <c r="E10" s="1365"/>
      <c r="F10" s="1366">
        <v>0</v>
      </c>
      <c r="G10" s="1365"/>
      <c r="H10" s="1364">
        <f t="shared" si="0"/>
        <v>0</v>
      </c>
      <c r="I10" s="1363"/>
      <c r="J10" s="1366"/>
      <c r="K10" s="1363"/>
      <c r="L10" s="1358">
        <f t="shared" si="1"/>
        <v>0</v>
      </c>
      <c r="M10" s="1367"/>
      <c r="N10" s="1408"/>
      <c r="O10" s="1363"/>
      <c r="P10" s="1364">
        <f t="shared" si="2"/>
        <v>0</v>
      </c>
      <c r="Q10" s="1368"/>
      <c r="R10" s="1368"/>
      <c r="S10" s="1368"/>
      <c r="T10" s="1368"/>
      <c r="U10" s="1368"/>
      <c r="V10" s="1368"/>
      <c r="W10" s="1368"/>
      <c r="X10" s="1368"/>
      <c r="Y10" s="1368"/>
      <c r="Z10" s="1368"/>
      <c r="AA10" s="1368"/>
      <c r="AB10" s="1368"/>
      <c r="AC10" s="1368"/>
      <c r="AD10" s="1369">
        <f t="shared" si="4"/>
        <v>0</v>
      </c>
      <c r="AE10" s="1363"/>
      <c r="AF10" s="1408">
        <v>0</v>
      </c>
      <c r="AG10" s="1363"/>
      <c r="AH10" s="1370">
        <f t="shared" si="5"/>
        <v>0</v>
      </c>
      <c r="AI10" s="1363"/>
      <c r="AJ10" s="1371">
        <f t="shared" si="6"/>
        <v>0</v>
      </c>
      <c r="AK10" s="1363"/>
      <c r="AL10" s="1422"/>
      <c r="AM10" s="1363"/>
      <c r="AN10" s="1422"/>
      <c r="AO10" s="1362"/>
      <c r="AP10" s="1362"/>
    </row>
    <row r="11" spans="1:42">
      <c r="A11" s="1363" t="s">
        <v>382</v>
      </c>
      <c r="B11" s="1363"/>
      <c r="C11" s="1417"/>
      <c r="D11" s="1366">
        <v>0</v>
      </c>
      <c r="E11" s="1365"/>
      <c r="F11" s="1366">
        <v>0</v>
      </c>
      <c r="G11" s="1365"/>
      <c r="H11" s="1364">
        <f t="shared" si="0"/>
        <v>0</v>
      </c>
      <c r="I11" s="1363"/>
      <c r="J11" s="1366"/>
      <c r="K11" s="1363"/>
      <c r="L11" s="1358">
        <f t="shared" si="1"/>
        <v>0</v>
      </c>
      <c r="M11" s="1367"/>
      <c r="N11" s="1408"/>
      <c r="O11" s="1363"/>
      <c r="P11" s="1364">
        <f t="shared" si="2"/>
        <v>0</v>
      </c>
      <c r="Q11" s="1368"/>
      <c r="R11" s="1368"/>
      <c r="S11" s="1368"/>
      <c r="T11" s="1368"/>
      <c r="U11" s="1368"/>
      <c r="V11" s="1368"/>
      <c r="W11" s="1368"/>
      <c r="X11" s="1368"/>
      <c r="Y11" s="1368"/>
      <c r="Z11" s="1368"/>
      <c r="AA11" s="1368"/>
      <c r="AB11" s="1368"/>
      <c r="AC11" s="1368"/>
      <c r="AD11" s="1369">
        <f t="shared" si="4"/>
        <v>0</v>
      </c>
      <c r="AE11" s="1363"/>
      <c r="AF11" s="1408">
        <v>0</v>
      </c>
      <c r="AG11" s="1363"/>
      <c r="AH11" s="1370">
        <f t="shared" si="5"/>
        <v>0</v>
      </c>
      <c r="AI11" s="1363"/>
      <c r="AJ11" s="1371">
        <f t="shared" si="6"/>
        <v>0</v>
      </c>
      <c r="AK11" s="1363"/>
      <c r="AL11" s="1422"/>
      <c r="AM11" s="1363"/>
      <c r="AN11" s="1422"/>
      <c r="AO11" s="1362"/>
      <c r="AP11" s="1362"/>
    </row>
    <row r="12" spans="1:42">
      <c r="A12" s="1363" t="s">
        <v>382</v>
      </c>
      <c r="B12" s="1363"/>
      <c r="C12" s="1417"/>
      <c r="D12" s="1366">
        <v>0</v>
      </c>
      <c r="E12" s="1365"/>
      <c r="F12" s="1366">
        <v>0</v>
      </c>
      <c r="G12" s="1365"/>
      <c r="H12" s="1364">
        <f t="shared" si="0"/>
        <v>0</v>
      </c>
      <c r="I12" s="1363"/>
      <c r="J12" s="1366"/>
      <c r="K12" s="1363"/>
      <c r="L12" s="1358">
        <f t="shared" si="1"/>
        <v>0</v>
      </c>
      <c r="M12" s="1367"/>
      <c r="N12" s="1408"/>
      <c r="O12" s="1363"/>
      <c r="P12" s="1364">
        <f t="shared" si="2"/>
        <v>0</v>
      </c>
      <c r="Q12" s="1368"/>
      <c r="R12" s="1368"/>
      <c r="S12" s="1368"/>
      <c r="T12" s="1368"/>
      <c r="U12" s="1368"/>
      <c r="V12" s="1368"/>
      <c r="W12" s="1368"/>
      <c r="X12" s="1368"/>
      <c r="Y12" s="1368"/>
      <c r="Z12" s="1368"/>
      <c r="AA12" s="1368"/>
      <c r="AB12" s="1368"/>
      <c r="AC12" s="1368"/>
      <c r="AD12" s="1369">
        <f t="shared" si="4"/>
        <v>0</v>
      </c>
      <c r="AE12" s="1363"/>
      <c r="AF12" s="1408">
        <v>0</v>
      </c>
      <c r="AG12" s="1363"/>
      <c r="AH12" s="1370">
        <f t="shared" si="5"/>
        <v>0</v>
      </c>
      <c r="AI12" s="1363"/>
      <c r="AJ12" s="1371">
        <f t="shared" si="6"/>
        <v>0</v>
      </c>
      <c r="AK12" s="1363"/>
      <c r="AL12" s="1422"/>
      <c r="AM12" s="1363"/>
      <c r="AN12" s="1422"/>
      <c r="AO12" s="1362"/>
      <c r="AP12" s="1362"/>
    </row>
    <row r="13" spans="1:42">
      <c r="A13" s="1363" t="s">
        <v>382</v>
      </c>
      <c r="B13" s="1363"/>
      <c r="C13" s="1417"/>
      <c r="D13" s="1366">
        <v>0</v>
      </c>
      <c r="E13" s="1365"/>
      <c r="F13" s="1366">
        <v>0</v>
      </c>
      <c r="G13" s="1365"/>
      <c r="H13" s="1364">
        <f t="shared" si="0"/>
        <v>0</v>
      </c>
      <c r="I13" s="1363"/>
      <c r="J13" s="1366"/>
      <c r="K13" s="1363"/>
      <c r="L13" s="1358">
        <f t="shared" si="1"/>
        <v>0</v>
      </c>
      <c r="M13" s="1367"/>
      <c r="N13" s="1408"/>
      <c r="O13" s="1363"/>
      <c r="P13" s="1364">
        <f t="shared" si="2"/>
        <v>0</v>
      </c>
      <c r="Q13" s="1368"/>
      <c r="R13" s="1368"/>
      <c r="S13" s="1368"/>
      <c r="T13" s="1368"/>
      <c r="U13" s="1368"/>
      <c r="V13" s="1368"/>
      <c r="W13" s="1368"/>
      <c r="X13" s="1368"/>
      <c r="Y13" s="1368"/>
      <c r="Z13" s="1368"/>
      <c r="AA13" s="1368"/>
      <c r="AB13" s="1368"/>
      <c r="AC13" s="1368"/>
      <c r="AD13" s="1369">
        <f t="shared" si="4"/>
        <v>0</v>
      </c>
      <c r="AE13" s="1363"/>
      <c r="AF13" s="1408">
        <v>0</v>
      </c>
      <c r="AG13" s="1363"/>
      <c r="AH13" s="1370">
        <f t="shared" si="5"/>
        <v>0</v>
      </c>
      <c r="AI13" s="1363"/>
      <c r="AJ13" s="1371">
        <f t="shared" si="6"/>
        <v>0</v>
      </c>
      <c r="AK13" s="1363"/>
      <c r="AL13" s="1422"/>
      <c r="AM13" s="1363"/>
      <c r="AN13" s="1422"/>
      <c r="AO13" s="1362"/>
      <c r="AP13" s="1362"/>
    </row>
    <row r="14" spans="1:42">
      <c r="A14" s="1363" t="s">
        <v>382</v>
      </c>
      <c r="B14" s="1363"/>
      <c r="C14" s="1417"/>
      <c r="D14" s="1366">
        <v>0</v>
      </c>
      <c r="E14" s="1365"/>
      <c r="F14" s="1366">
        <v>0</v>
      </c>
      <c r="G14" s="1365"/>
      <c r="H14" s="1364">
        <f t="shared" si="0"/>
        <v>0</v>
      </c>
      <c r="I14" s="1363"/>
      <c r="J14" s="1366"/>
      <c r="K14" s="1363"/>
      <c r="L14" s="1358">
        <f t="shared" si="1"/>
        <v>0</v>
      </c>
      <c r="M14" s="1367"/>
      <c r="N14" s="1408"/>
      <c r="O14" s="1363"/>
      <c r="P14" s="1364">
        <f t="shared" si="2"/>
        <v>0</v>
      </c>
      <c r="Q14" s="1368"/>
      <c r="R14" s="1368"/>
      <c r="S14" s="1368"/>
      <c r="T14" s="1368"/>
      <c r="U14" s="1368"/>
      <c r="V14" s="1368"/>
      <c r="W14" s="1368"/>
      <c r="X14" s="1368"/>
      <c r="Y14" s="1368"/>
      <c r="Z14" s="1368"/>
      <c r="AA14" s="1368"/>
      <c r="AB14" s="1368"/>
      <c r="AC14" s="1368"/>
      <c r="AD14" s="1369">
        <f t="shared" si="4"/>
        <v>0</v>
      </c>
      <c r="AE14" s="1363"/>
      <c r="AF14" s="1408">
        <v>0</v>
      </c>
      <c r="AG14" s="1363"/>
      <c r="AH14" s="1370">
        <f t="shared" si="5"/>
        <v>0</v>
      </c>
      <c r="AI14" s="1363"/>
      <c r="AJ14" s="1371">
        <f t="shared" si="6"/>
        <v>0</v>
      </c>
      <c r="AK14" s="1363"/>
      <c r="AL14" s="1422"/>
      <c r="AM14" s="1363"/>
      <c r="AN14" s="1422"/>
      <c r="AO14" s="1362"/>
      <c r="AP14" s="1362"/>
    </row>
    <row r="15" spans="1:42">
      <c r="A15" s="1363" t="s">
        <v>382</v>
      </c>
      <c r="B15" s="1363"/>
      <c r="C15" s="1417"/>
      <c r="D15" s="1366">
        <v>0</v>
      </c>
      <c r="E15" s="1365"/>
      <c r="F15" s="1366">
        <v>0</v>
      </c>
      <c r="G15" s="1365"/>
      <c r="H15" s="1364">
        <f t="shared" si="0"/>
        <v>0</v>
      </c>
      <c r="I15" s="1363"/>
      <c r="J15" s="1366"/>
      <c r="K15" s="1363"/>
      <c r="L15" s="1358">
        <f t="shared" si="1"/>
        <v>0</v>
      </c>
      <c r="M15" s="1367"/>
      <c r="N15" s="1408"/>
      <c r="O15" s="1363"/>
      <c r="P15" s="1364">
        <f t="shared" si="2"/>
        <v>0</v>
      </c>
      <c r="Q15" s="1368"/>
      <c r="R15" s="1368"/>
      <c r="S15" s="1368"/>
      <c r="T15" s="1368"/>
      <c r="U15" s="1368"/>
      <c r="V15" s="1368"/>
      <c r="W15" s="1368"/>
      <c r="X15" s="1368"/>
      <c r="Y15" s="1368"/>
      <c r="Z15" s="1368"/>
      <c r="AA15" s="1368"/>
      <c r="AB15" s="1368"/>
      <c r="AC15" s="1368"/>
      <c r="AD15" s="1369">
        <f t="shared" si="4"/>
        <v>0</v>
      </c>
      <c r="AE15" s="1363"/>
      <c r="AF15" s="1408">
        <v>0</v>
      </c>
      <c r="AG15" s="1363"/>
      <c r="AH15" s="1370">
        <f t="shared" si="5"/>
        <v>0</v>
      </c>
      <c r="AI15" s="1363"/>
      <c r="AJ15" s="1371">
        <f t="shared" si="6"/>
        <v>0</v>
      </c>
      <c r="AK15" s="1363"/>
      <c r="AL15" s="1422"/>
      <c r="AM15" s="1363"/>
      <c r="AN15" s="1422"/>
      <c r="AO15" s="1362"/>
      <c r="AP15" s="1362"/>
    </row>
    <row r="16" spans="1:42">
      <c r="A16" s="1363" t="s">
        <v>316</v>
      </c>
      <c r="B16" s="1363"/>
      <c r="C16" s="1417"/>
      <c r="D16" s="1366"/>
      <c r="E16" s="1372"/>
      <c r="F16" s="1375">
        <v>0</v>
      </c>
      <c r="G16" s="1372"/>
      <c r="H16" s="1373">
        <f t="shared" si="0"/>
        <v>0</v>
      </c>
      <c r="I16" s="1374"/>
      <c r="J16" s="1375"/>
      <c r="K16" s="1374"/>
      <c r="L16" s="1358">
        <f t="shared" si="1"/>
        <v>0</v>
      </c>
      <c r="M16" s="1376"/>
      <c r="N16" s="1420"/>
      <c r="O16" s="1374"/>
      <c r="P16" s="1373">
        <f t="shared" si="2"/>
        <v>0</v>
      </c>
      <c r="Q16" s="1377"/>
      <c r="R16" s="1377"/>
      <c r="S16" s="1377"/>
      <c r="T16" s="1377"/>
      <c r="U16" s="1377"/>
      <c r="V16" s="1377"/>
      <c r="W16" s="1377"/>
      <c r="X16" s="1377"/>
      <c r="Y16" s="1377"/>
      <c r="Z16" s="1377"/>
      <c r="AA16" s="1377"/>
      <c r="AB16" s="1377"/>
      <c r="AC16" s="1377"/>
      <c r="AD16" s="1378">
        <f t="shared" si="4"/>
        <v>0</v>
      </c>
      <c r="AE16" s="1374"/>
      <c r="AF16" s="1421">
        <v>0</v>
      </c>
      <c r="AG16" s="1374"/>
      <c r="AH16" s="1379">
        <f t="shared" si="5"/>
        <v>0</v>
      </c>
      <c r="AI16" s="1374"/>
      <c r="AJ16" s="1380">
        <f t="shared" si="6"/>
        <v>0</v>
      </c>
      <c r="AK16" s="1374"/>
      <c r="AL16" s="1423"/>
      <c r="AM16" s="1381"/>
      <c r="AN16" s="1424"/>
      <c r="AO16" s="1362"/>
      <c r="AP16" s="1362"/>
    </row>
    <row r="17" spans="1:42" ht="15" customHeight="1">
      <c r="A17" s="1382">
        <v>2</v>
      </c>
      <c r="D17" s="1382"/>
      <c r="E17" s="1619" t="s">
        <v>980</v>
      </c>
      <c r="F17" s="1619"/>
      <c r="G17" s="1619"/>
      <c r="H17" s="1619"/>
      <c r="I17" s="1619"/>
      <c r="J17" s="1619"/>
      <c r="K17" s="1619"/>
      <c r="L17" s="1619"/>
      <c r="M17" s="1619"/>
      <c r="N17" s="1619"/>
      <c r="O17" s="1619"/>
      <c r="P17" s="1383">
        <f>SUM(P7:P16)</f>
        <v>1934455.8834736845</v>
      </c>
      <c r="S17" s="1384" t="s">
        <v>981</v>
      </c>
      <c r="T17" s="1384"/>
      <c r="U17" s="1384"/>
      <c r="V17" s="1384"/>
      <c r="W17" s="1384"/>
      <c r="X17" s="1384"/>
      <c r="Y17" s="1384"/>
      <c r="Z17" s="1384"/>
      <c r="AA17" s="1384"/>
      <c r="AD17" s="1425" t="s">
        <v>1053</v>
      </c>
      <c r="AE17" s="1425"/>
      <c r="AF17" s="1425"/>
      <c r="AG17" s="1425"/>
      <c r="AH17" s="1425"/>
      <c r="AI17" s="1425"/>
      <c r="AJ17" s="1385">
        <f>SUM(AJ7:AJ16)</f>
        <v>6770189.4336477723</v>
      </c>
      <c r="AK17" s="1386"/>
      <c r="AL17" s="1387"/>
      <c r="AM17" s="1362"/>
      <c r="AN17" s="1362"/>
      <c r="AO17" s="1362"/>
      <c r="AP17" s="1362"/>
    </row>
    <row r="19" spans="1:42">
      <c r="C19" s="1362" t="s">
        <v>982</v>
      </c>
      <c r="Q19" s="1384"/>
      <c r="R19" s="1384"/>
      <c r="S19" s="1384"/>
      <c r="T19" s="1362"/>
      <c r="U19" s="1362"/>
      <c r="V19" s="1362"/>
      <c r="W19" s="1362"/>
      <c r="X19" s="1362"/>
      <c r="Y19" s="1362"/>
      <c r="Z19" s="1362"/>
      <c r="AA19" s="1362"/>
      <c r="AB19" s="1362"/>
      <c r="AC19" s="1384"/>
      <c r="AF19" s="1362"/>
      <c r="AG19" s="1362" t="s">
        <v>879</v>
      </c>
      <c r="AH19" s="1387"/>
      <c r="AI19" s="1362"/>
      <c r="AK19" s="1362"/>
      <c r="AM19" s="1362"/>
      <c r="AN19" s="1362"/>
      <c r="AO19" s="1362"/>
      <c r="AP19" s="1362"/>
    </row>
    <row r="20" spans="1:42" ht="11.25" customHeight="1">
      <c r="A20" s="1392"/>
      <c r="B20" s="1392" t="s">
        <v>10</v>
      </c>
      <c r="C20" s="1617" t="s">
        <v>1054</v>
      </c>
      <c r="D20" s="1617"/>
      <c r="E20" s="1617"/>
      <c r="F20" s="1617"/>
      <c r="G20" s="1617"/>
      <c r="H20" s="1617"/>
      <c r="I20" s="1617"/>
      <c r="J20" s="1617"/>
      <c r="K20" s="1617"/>
      <c r="L20" s="1393"/>
      <c r="M20" s="1393"/>
      <c r="N20" s="1393"/>
      <c r="O20" s="1393"/>
      <c r="P20" s="1393"/>
      <c r="Q20" s="1394"/>
      <c r="R20" s="1394"/>
      <c r="S20" s="1394"/>
      <c r="T20" s="1395"/>
      <c r="U20" s="1395"/>
      <c r="V20" s="1395"/>
      <c r="W20" s="1395"/>
      <c r="X20" s="1395"/>
      <c r="Y20" s="1395"/>
      <c r="Z20" s="1395"/>
      <c r="AA20" s="1395"/>
      <c r="AB20" s="1395"/>
      <c r="AC20" s="1511">
        <v>1481453</v>
      </c>
      <c r="AF20" s="1396" t="s">
        <v>12</v>
      </c>
      <c r="AG20" s="1397" t="s">
        <v>983</v>
      </c>
      <c r="AH20" s="1396"/>
      <c r="AI20" s="1395"/>
      <c r="AJ20" s="1395"/>
      <c r="AK20" s="1395"/>
      <c r="AL20" s="1395"/>
      <c r="AM20" s="1395"/>
      <c r="AN20" s="1362"/>
      <c r="AO20" s="1362"/>
      <c r="AP20" s="1362"/>
    </row>
    <row r="21" spans="1:42">
      <c r="A21" s="1392"/>
      <c r="B21" s="1392"/>
      <c r="C21" s="1617"/>
      <c r="D21" s="1617"/>
      <c r="E21" s="1617"/>
      <c r="F21" s="1617"/>
      <c r="G21" s="1617"/>
      <c r="H21" s="1617"/>
      <c r="I21" s="1617"/>
      <c r="J21" s="1617"/>
      <c r="K21" s="1617"/>
      <c r="L21" s="1393"/>
      <c r="M21" s="1393"/>
      <c r="N21" s="1393"/>
      <c r="O21" s="1393"/>
      <c r="P21" s="1393"/>
      <c r="Q21" s="1395"/>
      <c r="R21" s="1395"/>
      <c r="S21" s="1395"/>
      <c r="T21" s="1395"/>
      <c r="U21" s="1395"/>
      <c r="V21" s="1395"/>
      <c r="W21" s="1395"/>
      <c r="X21" s="1395"/>
      <c r="Y21" s="1395"/>
      <c r="Z21" s="1395"/>
      <c r="AA21" s="1395"/>
      <c r="AB21" s="1395"/>
      <c r="AC21" s="1395"/>
      <c r="AF21" s="1396" t="s">
        <v>13</v>
      </c>
      <c r="AG21" s="1362" t="s">
        <v>984</v>
      </c>
      <c r="AH21" s="1396"/>
      <c r="AI21" s="1362"/>
      <c r="AK21" s="1395"/>
      <c r="AL21" s="1395"/>
      <c r="AM21" s="1395"/>
      <c r="AN21" s="1362"/>
      <c r="AO21" s="1362"/>
      <c r="AP21" s="1362"/>
    </row>
    <row r="22" spans="1:42" ht="11.25" customHeight="1">
      <c r="A22" s="1392"/>
      <c r="B22" s="1392"/>
      <c r="C22" s="1617"/>
      <c r="D22" s="1617"/>
      <c r="E22" s="1617"/>
      <c r="F22" s="1617"/>
      <c r="G22" s="1617"/>
      <c r="H22" s="1617"/>
      <c r="I22" s="1617"/>
      <c r="J22" s="1617"/>
      <c r="K22" s="1393"/>
      <c r="L22" s="1393"/>
      <c r="M22" s="1393"/>
      <c r="N22" s="1393"/>
      <c r="O22" s="1393"/>
      <c r="P22" s="1393"/>
      <c r="Q22" s="1362"/>
      <c r="R22" s="1362"/>
      <c r="S22" s="1362"/>
      <c r="T22" s="1362"/>
      <c r="U22" s="1362"/>
      <c r="V22" s="1362"/>
      <c r="W22" s="1362"/>
      <c r="X22" s="1362"/>
      <c r="Y22" s="1362"/>
      <c r="Z22" s="1362"/>
      <c r="AA22" s="1362"/>
      <c r="AB22" s="1362"/>
      <c r="AC22" s="1512">
        <f>AC7-AC20</f>
        <v>0.30599999986588955</v>
      </c>
      <c r="AD22" s="1362"/>
      <c r="AE22" s="1362"/>
      <c r="AF22" s="1362"/>
      <c r="AG22" s="1362"/>
      <c r="AI22" s="1362"/>
      <c r="AK22" s="1362"/>
      <c r="AM22" s="1362"/>
      <c r="AN22" s="1362"/>
      <c r="AO22" s="1362"/>
      <c r="AP22" s="1362"/>
    </row>
    <row r="23" spans="1:42">
      <c r="A23" s="1392"/>
      <c r="B23" s="1392"/>
      <c r="C23" s="1617"/>
      <c r="D23" s="1617"/>
      <c r="E23" s="1617"/>
      <c r="F23" s="1617"/>
      <c r="G23" s="1617"/>
      <c r="H23" s="1617"/>
      <c r="I23" s="1617"/>
      <c r="J23" s="1617"/>
      <c r="K23" s="1393"/>
      <c r="L23" s="1393"/>
      <c r="M23" s="1393"/>
      <c r="N23" s="1393"/>
      <c r="O23" s="1393"/>
      <c r="P23" s="1393"/>
      <c r="Q23" s="1362"/>
      <c r="R23" s="1362"/>
      <c r="S23" s="1362"/>
      <c r="T23" s="1362"/>
      <c r="U23" s="1362"/>
      <c r="V23" s="1362"/>
      <c r="W23" s="1362"/>
      <c r="X23" s="1362"/>
      <c r="Y23" s="1362"/>
      <c r="Z23" s="1362"/>
      <c r="AA23" s="1362"/>
      <c r="AB23" s="1362"/>
      <c r="AC23" s="1362"/>
      <c r="AD23" s="1362"/>
      <c r="AE23" s="1362"/>
      <c r="AF23" s="1362"/>
      <c r="AG23" s="1362"/>
      <c r="AI23" s="1362"/>
      <c r="AK23" s="1362"/>
      <c r="AM23" s="1362"/>
      <c r="AN23" s="1362"/>
      <c r="AO23" s="1362"/>
      <c r="AP23" s="1362"/>
    </row>
    <row r="24" spans="1:42">
      <c r="A24" s="1392"/>
      <c r="B24" s="1392"/>
      <c r="C24" s="1617"/>
      <c r="D24" s="1617"/>
      <c r="E24" s="1617"/>
      <c r="F24" s="1617"/>
      <c r="G24" s="1617"/>
      <c r="H24" s="1617"/>
      <c r="I24" s="1617"/>
      <c r="J24" s="1617"/>
      <c r="M24" s="1395"/>
      <c r="Q24" s="1362"/>
      <c r="R24" s="1362"/>
      <c r="S24" s="1362"/>
      <c r="T24" s="1362"/>
      <c r="U24" s="1362"/>
      <c r="V24" s="1362"/>
      <c r="W24" s="1362"/>
      <c r="X24" s="1362"/>
      <c r="Y24" s="1362"/>
      <c r="Z24" s="1362"/>
      <c r="AA24" s="1362"/>
      <c r="AB24" s="1362"/>
      <c r="AC24" s="1362"/>
      <c r="AD24" s="1362"/>
      <c r="AE24" s="1362"/>
      <c r="AF24" s="1362"/>
      <c r="AG24" s="1362"/>
      <c r="AI24" s="1362"/>
      <c r="AK24" s="1362"/>
      <c r="AM24" s="1362"/>
      <c r="AN24" s="1362"/>
      <c r="AO24" s="1362"/>
      <c r="AP24" s="1362"/>
    </row>
    <row r="25" spans="1:42">
      <c r="A25" s="1392"/>
      <c r="B25" s="1392"/>
      <c r="Q25" s="1362"/>
      <c r="R25" s="1362"/>
      <c r="S25" s="1362"/>
      <c r="T25" s="1362"/>
      <c r="U25" s="1362"/>
      <c r="V25" s="1362"/>
      <c r="W25" s="1362"/>
      <c r="X25" s="1362"/>
      <c r="Y25" s="1362"/>
      <c r="Z25" s="1362"/>
      <c r="AA25" s="1362"/>
      <c r="AB25" s="1362"/>
      <c r="AC25" s="1362"/>
      <c r="AD25" s="1362"/>
      <c r="AE25" s="1362"/>
      <c r="AF25" s="1362"/>
      <c r="AG25" s="1362"/>
      <c r="AI25" s="1362"/>
      <c r="AK25" s="1362"/>
      <c r="AM25" s="1362"/>
      <c r="AN25" s="1362"/>
      <c r="AO25" s="1362"/>
      <c r="AP25" s="1362"/>
    </row>
    <row r="26" spans="1:42">
      <c r="A26" s="1392"/>
      <c r="B26" s="1392"/>
      <c r="Q26" s="1362"/>
      <c r="R26" s="1362"/>
      <c r="S26" s="1362"/>
      <c r="T26" s="1362"/>
      <c r="U26" s="1362"/>
      <c r="V26" s="1362"/>
      <c r="W26" s="1362"/>
      <c r="X26" s="1362"/>
      <c r="Y26" s="1362"/>
      <c r="Z26" s="1362"/>
      <c r="AA26" s="1362"/>
      <c r="AB26" s="1362"/>
      <c r="AC26" s="1362"/>
      <c r="AD26" s="1362"/>
      <c r="AE26" s="1362"/>
      <c r="AF26" s="1362"/>
      <c r="AG26" s="1362"/>
      <c r="AI26" s="1362"/>
      <c r="AK26" s="1362"/>
      <c r="AM26" s="1362"/>
      <c r="AN26" s="1362"/>
      <c r="AO26" s="1362"/>
      <c r="AP26" s="1362"/>
    </row>
    <row r="27" spans="1:42">
      <c r="A27" s="1392"/>
      <c r="B27" s="1392"/>
      <c r="Q27" s="1362"/>
      <c r="R27" s="1362"/>
      <c r="S27" s="1362"/>
      <c r="T27" s="1362"/>
      <c r="U27" s="1362"/>
      <c r="V27" s="1362"/>
      <c r="W27" s="1362"/>
      <c r="X27" s="1362"/>
      <c r="Y27" s="1362"/>
      <c r="Z27" s="1362"/>
      <c r="AA27" s="1362"/>
      <c r="AB27" s="1362"/>
      <c r="AC27" s="1362"/>
      <c r="AD27" s="1362"/>
      <c r="AE27" s="1362"/>
      <c r="AF27" s="1362"/>
      <c r="AG27" s="1362"/>
      <c r="AI27" s="1362"/>
      <c r="AK27" s="1362"/>
      <c r="AM27" s="1362"/>
      <c r="AN27" s="1362"/>
      <c r="AO27" s="1362"/>
      <c r="AP27" s="1362"/>
    </row>
    <row r="28" spans="1:42">
      <c r="A28" s="1392"/>
      <c r="B28" s="1392"/>
      <c r="Q28" s="1362"/>
      <c r="R28" s="1362"/>
      <c r="S28" s="1362"/>
      <c r="T28" s="1362"/>
      <c r="U28" s="1362"/>
      <c r="V28" s="1362"/>
      <c r="W28" s="1362"/>
      <c r="X28" s="1362"/>
      <c r="Y28" s="1362"/>
      <c r="Z28" s="1362"/>
      <c r="AA28" s="1362"/>
      <c r="AB28" s="1362"/>
      <c r="AC28" s="1362"/>
      <c r="AD28" s="1362"/>
      <c r="AE28" s="1362"/>
      <c r="AF28" s="1362"/>
      <c r="AG28" s="1362"/>
      <c r="AI28" s="1362"/>
      <c r="AK28" s="1362"/>
      <c r="AM28" s="1362"/>
      <c r="AN28" s="1362"/>
      <c r="AO28" s="1362"/>
      <c r="AP28" s="1362"/>
    </row>
    <row r="29" spans="1:42">
      <c r="A29" s="1392"/>
      <c r="B29" s="1392"/>
      <c r="Q29" s="1362"/>
      <c r="R29" s="1362"/>
      <c r="S29" s="1362"/>
      <c r="T29" s="1362"/>
      <c r="U29" s="1362"/>
      <c r="V29" s="1362"/>
      <c r="W29" s="1362"/>
      <c r="X29" s="1362"/>
      <c r="Y29" s="1362"/>
      <c r="Z29" s="1362"/>
      <c r="AA29" s="1362"/>
      <c r="AB29" s="1362"/>
      <c r="AC29" s="1362"/>
      <c r="AD29" s="1362"/>
      <c r="AE29" s="1362"/>
      <c r="AM29" s="1362"/>
      <c r="AN29" s="1362"/>
      <c r="AO29" s="1362"/>
      <c r="AP29" s="1362"/>
    </row>
    <row r="30" spans="1:42">
      <c r="A30" s="1392"/>
      <c r="B30" s="1392"/>
      <c r="Q30" s="1362"/>
      <c r="R30" s="1362"/>
      <c r="S30" s="1362"/>
      <c r="T30" s="1362"/>
      <c r="U30" s="1362"/>
      <c r="V30" s="1362"/>
      <c r="W30" s="1362"/>
      <c r="X30" s="1362"/>
      <c r="Y30" s="1362"/>
      <c r="Z30" s="1362"/>
      <c r="AA30" s="1362"/>
      <c r="AB30" s="1362"/>
      <c r="AC30" s="1362"/>
      <c r="AD30" s="1362"/>
      <c r="AE30" s="1362"/>
      <c r="AM30" s="1362"/>
      <c r="AN30" s="1362"/>
      <c r="AO30" s="1362"/>
      <c r="AP30" s="1362"/>
    </row>
    <row r="31" spans="1:42">
      <c r="B31" s="1392"/>
    </row>
  </sheetData>
  <mergeCells count="30">
    <mergeCell ref="A5:A6"/>
    <mergeCell ref="B5:B6"/>
    <mergeCell ref="C5:C6"/>
    <mergeCell ref="D5:D6"/>
    <mergeCell ref="E5:E6"/>
    <mergeCell ref="AN5:AN6"/>
    <mergeCell ref="E17:O17"/>
    <mergeCell ref="AE5:AE6"/>
    <mergeCell ref="AF5:AF6"/>
    <mergeCell ref="AG5:AG6"/>
    <mergeCell ref="AH5:AH6"/>
    <mergeCell ref="AI5:AI6"/>
    <mergeCell ref="AJ5:AJ6"/>
    <mergeCell ref="L5:L6"/>
    <mergeCell ref="M5:M6"/>
    <mergeCell ref="N5:N6"/>
    <mergeCell ref="O5:O6"/>
    <mergeCell ref="P5:P6"/>
    <mergeCell ref="AD5:AD6"/>
    <mergeCell ref="F5:F6"/>
    <mergeCell ref="G5:G6"/>
    <mergeCell ref="C20:K21"/>
    <mergeCell ref="C22:J24"/>
    <mergeCell ref="AK5:AK6"/>
    <mergeCell ref="AL5:AL6"/>
    <mergeCell ref="AM5:AM6"/>
    <mergeCell ref="H5:H6"/>
    <mergeCell ref="I5:I6"/>
    <mergeCell ref="J5:J6"/>
    <mergeCell ref="K5:K6"/>
  </mergeCells>
  <pageMargins left="0.7" right="0.7" top="0.75" bottom="0.75" header="0.3" footer="0.3"/>
  <pageSetup paperSize="5" scale="51" orientation="landscape" horizontalDpi="4294967293" r:id="rId1"/>
  <headerFooter>
    <oddHeader>&amp;C&amp;"Arial,Bold"Attachment 11 - Regulatory Assets and Abandoned Plant
MidAmerican Central California Transco, LLC</oddHeader>
    <oddFooter>&amp;R&amp;"Arial,Regular"Page &amp;P of &amp;N</oddFooter>
  </headerFooter>
  <colBreaks count="2" manualBreakCount="2">
    <brk id="16" max="1048575" man="1"/>
    <brk id="2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A1:Z43"/>
  <sheetViews>
    <sheetView view="pageBreakPreview" zoomScale="60" zoomScaleNormal="100" workbookViewId="0"/>
  </sheetViews>
  <sheetFormatPr defaultColWidth="7.109375" defaultRowHeight="11.25"/>
  <cols>
    <col min="1" max="1" width="2.5546875" style="1382" customWidth="1"/>
    <col min="2" max="2" width="7.77734375" style="1409" customWidth="1"/>
    <col min="3" max="3" width="32.21875" style="1409" customWidth="1"/>
    <col min="4" max="4" width="7.44140625" style="1409" customWidth="1"/>
    <col min="5" max="16" width="7.44140625" style="1388" customWidth="1"/>
    <col min="17" max="17" width="8.44140625" style="1388" customWidth="1"/>
    <col min="18" max="18" width="1.44140625" style="1388" customWidth="1"/>
    <col min="19" max="19" width="10" style="1388" customWidth="1"/>
    <col min="20" max="20" width="1.44140625" style="1388" customWidth="1"/>
    <col min="21" max="21" width="9.77734375" style="1388" customWidth="1"/>
    <col min="22" max="22" width="1.44140625" style="1382" customWidth="1"/>
    <col min="23" max="23" width="7.44140625" style="1362" customWidth="1"/>
    <col min="24" max="16384" width="7.109375" style="1362"/>
  </cols>
  <sheetData>
    <row r="1" spans="1:23" ht="15">
      <c r="A1" s="1242" t="s">
        <v>1070</v>
      </c>
      <c r="L1" s="1242" t="s">
        <v>1070</v>
      </c>
    </row>
    <row r="2" spans="1:23" ht="15.75">
      <c r="A2" s="1242" t="s">
        <v>1068</v>
      </c>
      <c r="L2" s="1242" t="s">
        <v>1068</v>
      </c>
    </row>
    <row r="4" spans="1:23" s="1348" customFormat="1">
      <c r="B4" s="1398" t="s">
        <v>461</v>
      </c>
      <c r="C4" s="1349" t="s">
        <v>593</v>
      </c>
      <c r="D4" s="1350" t="s">
        <v>840</v>
      </c>
      <c r="E4" s="1350" t="s">
        <v>591</v>
      </c>
      <c r="F4" s="1350" t="s">
        <v>841</v>
      </c>
      <c r="G4" s="1350" t="s">
        <v>589</v>
      </c>
      <c r="H4" s="1350" t="s">
        <v>588</v>
      </c>
      <c r="I4" s="1350" t="s">
        <v>587</v>
      </c>
      <c r="J4" s="1350" t="s">
        <v>849</v>
      </c>
      <c r="K4" s="1350" t="s">
        <v>850</v>
      </c>
      <c r="L4" s="1350" t="s">
        <v>851</v>
      </c>
      <c r="M4" s="1350" t="s">
        <v>852</v>
      </c>
      <c r="N4" s="1350" t="s">
        <v>853</v>
      </c>
      <c r="O4" s="1350" t="s">
        <v>854</v>
      </c>
      <c r="P4" s="1350" t="s">
        <v>855</v>
      </c>
      <c r="Q4" s="1349" t="s">
        <v>856</v>
      </c>
      <c r="S4" s="1348" t="s">
        <v>857</v>
      </c>
      <c r="U4" s="1348" t="s">
        <v>858</v>
      </c>
      <c r="W4" s="1348" t="s">
        <v>859</v>
      </c>
    </row>
    <row r="5" spans="1:23" s="1355" customFormat="1" ht="36.75" customHeight="1">
      <c r="A5" s="1618" t="s">
        <v>17</v>
      </c>
      <c r="B5" s="1618" t="s">
        <v>985</v>
      </c>
      <c r="C5" s="1623" t="s">
        <v>986</v>
      </c>
      <c r="D5" s="1399" t="s">
        <v>865</v>
      </c>
      <c r="E5" s="1354" t="s">
        <v>866</v>
      </c>
      <c r="F5" s="1354" t="s">
        <v>867</v>
      </c>
      <c r="G5" s="1354" t="s">
        <v>868</v>
      </c>
      <c r="H5" s="1354" t="s">
        <v>869</v>
      </c>
      <c r="I5" s="1354" t="s">
        <v>870</v>
      </c>
      <c r="J5" s="1354" t="s">
        <v>869</v>
      </c>
      <c r="K5" s="1354" t="s">
        <v>871</v>
      </c>
      <c r="L5" s="1354" t="s">
        <v>872</v>
      </c>
      <c r="M5" s="1354" t="s">
        <v>873</v>
      </c>
      <c r="N5" s="1354" t="s">
        <v>874</v>
      </c>
      <c r="O5" s="1354" t="s">
        <v>875</v>
      </c>
      <c r="P5" s="1354" t="s">
        <v>865</v>
      </c>
      <c r="Q5" s="1618" t="s">
        <v>987</v>
      </c>
      <c r="R5" s="1618" t="s">
        <v>846</v>
      </c>
      <c r="S5" s="1618" t="s">
        <v>988</v>
      </c>
      <c r="T5" s="1618" t="s">
        <v>846</v>
      </c>
      <c r="U5" s="1618" t="s">
        <v>989</v>
      </c>
      <c r="V5" s="1618" t="s">
        <v>66</v>
      </c>
      <c r="W5" s="1618" t="s">
        <v>990</v>
      </c>
    </row>
    <row r="6" spans="1:23" s="1355" customFormat="1">
      <c r="A6" s="1618"/>
      <c r="B6" s="1618"/>
      <c r="C6" s="1624"/>
      <c r="D6" s="1400" t="s">
        <v>1079</v>
      </c>
      <c r="E6" s="1356" t="s">
        <v>1097</v>
      </c>
      <c r="F6" s="1356" t="s">
        <v>1097</v>
      </c>
      <c r="G6" s="1356" t="s">
        <v>1097</v>
      </c>
      <c r="H6" s="1356" t="s">
        <v>1097</v>
      </c>
      <c r="I6" s="1356" t="s">
        <v>1097</v>
      </c>
      <c r="J6" s="1356" t="s">
        <v>1097</v>
      </c>
      <c r="K6" s="1356" t="s">
        <v>1097</v>
      </c>
      <c r="L6" s="1356" t="s">
        <v>1097</v>
      </c>
      <c r="M6" s="1356" t="s">
        <v>1097</v>
      </c>
      <c r="N6" s="1356" t="s">
        <v>1097</v>
      </c>
      <c r="O6" s="1356" t="s">
        <v>1097</v>
      </c>
      <c r="P6" s="1356" t="s">
        <v>1097</v>
      </c>
      <c r="Q6" s="1618"/>
      <c r="R6" s="1618"/>
      <c r="S6" s="1618"/>
      <c r="T6" s="1618"/>
      <c r="U6" s="1618"/>
      <c r="V6" s="1618"/>
      <c r="W6" s="1618"/>
    </row>
    <row r="7" spans="1:23">
      <c r="A7" s="1382" t="s">
        <v>313</v>
      </c>
      <c r="B7" s="1401"/>
      <c r="C7" s="1402"/>
      <c r="D7" s="1402"/>
      <c r="E7" s="1402"/>
      <c r="F7" s="1402"/>
      <c r="G7" s="1402"/>
      <c r="H7" s="1402"/>
      <c r="I7" s="1402"/>
      <c r="J7" s="1402"/>
      <c r="K7" s="1402"/>
      <c r="L7" s="1402"/>
      <c r="M7" s="1402"/>
      <c r="N7" s="1402"/>
      <c r="O7" s="1402"/>
      <c r="P7" s="1402"/>
      <c r="Q7" s="1403">
        <f t="shared" ref="Q7:Q31" si="0">IFERROR(SUM(D7:P7)/13,0)</f>
        <v>0</v>
      </c>
      <c r="R7" s="1403"/>
      <c r="S7" s="1404">
        <v>1</v>
      </c>
      <c r="T7" s="1403"/>
      <c r="U7" s="1404">
        <v>1</v>
      </c>
      <c r="V7" s="1405"/>
      <c r="W7" s="1406">
        <f>Q7*S7*U7</f>
        <v>0</v>
      </c>
    </row>
    <row r="8" spans="1:23">
      <c r="A8" s="1382" t="s">
        <v>880</v>
      </c>
      <c r="B8" s="1407"/>
      <c r="C8" s="1366"/>
      <c r="D8" s="1366"/>
      <c r="E8" s="1366"/>
      <c r="F8" s="1366"/>
      <c r="G8" s="1366"/>
      <c r="H8" s="1366"/>
      <c r="I8" s="1366"/>
      <c r="J8" s="1366"/>
      <c r="K8" s="1366"/>
      <c r="L8" s="1366"/>
      <c r="M8" s="1366"/>
      <c r="N8" s="1366"/>
      <c r="O8" s="1366"/>
      <c r="P8" s="1366"/>
      <c r="Q8" s="1364">
        <f t="shared" si="0"/>
        <v>0</v>
      </c>
      <c r="R8" s="1364"/>
      <c r="S8" s="1408"/>
      <c r="T8" s="1364"/>
      <c r="U8" s="1408"/>
      <c r="V8" s="1363"/>
      <c r="W8" s="1406">
        <f t="shared" ref="W8:W31" si="1">Q8*S8*U8</f>
        <v>0</v>
      </c>
    </row>
    <row r="9" spans="1:23">
      <c r="A9" s="1382" t="s">
        <v>881</v>
      </c>
      <c r="B9" s="1407"/>
      <c r="C9" s="1366"/>
      <c r="D9" s="1366"/>
      <c r="E9" s="1366"/>
      <c r="F9" s="1366"/>
      <c r="G9" s="1366"/>
      <c r="H9" s="1366"/>
      <c r="I9" s="1366"/>
      <c r="J9" s="1366"/>
      <c r="K9" s="1366"/>
      <c r="L9" s="1366"/>
      <c r="M9" s="1366"/>
      <c r="N9" s="1366"/>
      <c r="O9" s="1366"/>
      <c r="P9" s="1366"/>
      <c r="Q9" s="1364">
        <f t="shared" si="0"/>
        <v>0</v>
      </c>
      <c r="R9" s="1364"/>
      <c r="S9" s="1408"/>
      <c r="T9" s="1364"/>
      <c r="U9" s="1408"/>
      <c r="V9" s="1363"/>
      <c r="W9" s="1406">
        <f t="shared" si="1"/>
        <v>0</v>
      </c>
    </row>
    <row r="10" spans="1:23">
      <c r="A10" s="1382" t="s">
        <v>382</v>
      </c>
      <c r="B10" s="1407"/>
      <c r="C10" s="1366"/>
      <c r="D10" s="1366"/>
      <c r="E10" s="1366"/>
      <c r="F10" s="1366"/>
      <c r="G10" s="1366"/>
      <c r="H10" s="1366"/>
      <c r="I10" s="1366"/>
      <c r="J10" s="1366"/>
      <c r="K10" s="1366"/>
      <c r="L10" s="1366"/>
      <c r="M10" s="1366"/>
      <c r="N10" s="1366"/>
      <c r="O10" s="1366"/>
      <c r="P10" s="1366"/>
      <c r="Q10" s="1364">
        <f t="shared" si="0"/>
        <v>0</v>
      </c>
      <c r="R10" s="1364"/>
      <c r="S10" s="1408"/>
      <c r="T10" s="1364"/>
      <c r="U10" s="1408"/>
      <c r="V10" s="1363"/>
      <c r="W10" s="1406">
        <f t="shared" si="1"/>
        <v>0</v>
      </c>
    </row>
    <row r="11" spans="1:23">
      <c r="A11" s="1382" t="s">
        <v>382</v>
      </c>
      <c r="B11" s="1407"/>
      <c r="C11" s="1366"/>
      <c r="D11" s="1366"/>
      <c r="E11" s="1366"/>
      <c r="F11" s="1366"/>
      <c r="G11" s="1366"/>
      <c r="H11" s="1366"/>
      <c r="I11" s="1366"/>
      <c r="J11" s="1366"/>
      <c r="K11" s="1366"/>
      <c r="L11" s="1366"/>
      <c r="M11" s="1366"/>
      <c r="N11" s="1366"/>
      <c r="O11" s="1366"/>
      <c r="P11" s="1366"/>
      <c r="Q11" s="1364">
        <f t="shared" si="0"/>
        <v>0</v>
      </c>
      <c r="R11" s="1364"/>
      <c r="S11" s="1408"/>
      <c r="T11" s="1364"/>
      <c r="U11" s="1408"/>
      <c r="V11" s="1363"/>
      <c r="W11" s="1406">
        <f t="shared" si="1"/>
        <v>0</v>
      </c>
    </row>
    <row r="12" spans="1:23">
      <c r="A12" s="1382" t="s">
        <v>382</v>
      </c>
      <c r="B12" s="1407"/>
      <c r="C12" s="1366"/>
      <c r="D12" s="1366"/>
      <c r="E12" s="1366"/>
      <c r="F12" s="1366"/>
      <c r="G12" s="1366"/>
      <c r="H12" s="1366"/>
      <c r="I12" s="1366"/>
      <c r="J12" s="1366"/>
      <c r="K12" s="1366"/>
      <c r="L12" s="1366"/>
      <c r="M12" s="1366"/>
      <c r="N12" s="1366"/>
      <c r="O12" s="1366"/>
      <c r="P12" s="1366"/>
      <c r="Q12" s="1364">
        <f t="shared" si="0"/>
        <v>0</v>
      </c>
      <c r="R12" s="1364"/>
      <c r="S12" s="1408"/>
      <c r="T12" s="1364"/>
      <c r="U12" s="1408"/>
      <c r="V12" s="1363"/>
      <c r="W12" s="1406">
        <f t="shared" si="1"/>
        <v>0</v>
      </c>
    </row>
    <row r="13" spans="1:23">
      <c r="A13" s="1382" t="s">
        <v>382</v>
      </c>
      <c r="B13" s="1407"/>
      <c r="C13" s="1366"/>
      <c r="D13" s="1366"/>
      <c r="E13" s="1366"/>
      <c r="F13" s="1366"/>
      <c r="G13" s="1366"/>
      <c r="H13" s="1366"/>
      <c r="I13" s="1366"/>
      <c r="J13" s="1366"/>
      <c r="K13" s="1366"/>
      <c r="L13" s="1366"/>
      <c r="M13" s="1366"/>
      <c r="N13" s="1366"/>
      <c r="O13" s="1366"/>
      <c r="P13" s="1366"/>
      <c r="Q13" s="1364">
        <f t="shared" si="0"/>
        <v>0</v>
      </c>
      <c r="R13" s="1364"/>
      <c r="S13" s="1408"/>
      <c r="T13" s="1364"/>
      <c r="U13" s="1408"/>
      <c r="V13" s="1363"/>
      <c r="W13" s="1406">
        <f t="shared" si="1"/>
        <v>0</v>
      </c>
    </row>
    <row r="14" spans="1:23">
      <c r="A14" s="1382" t="s">
        <v>382</v>
      </c>
      <c r="B14" s="1407"/>
      <c r="C14" s="1366"/>
      <c r="D14" s="1366"/>
      <c r="E14" s="1366"/>
      <c r="F14" s="1366"/>
      <c r="G14" s="1366"/>
      <c r="H14" s="1366"/>
      <c r="I14" s="1366"/>
      <c r="J14" s="1366"/>
      <c r="K14" s="1366"/>
      <c r="L14" s="1366"/>
      <c r="M14" s="1366"/>
      <c r="N14" s="1366"/>
      <c r="O14" s="1366"/>
      <c r="P14" s="1366"/>
      <c r="Q14" s="1364">
        <f t="shared" si="0"/>
        <v>0</v>
      </c>
      <c r="R14" s="1364"/>
      <c r="S14" s="1408"/>
      <c r="T14" s="1364"/>
      <c r="U14" s="1408"/>
      <c r="V14" s="1363"/>
      <c r="W14" s="1406">
        <f t="shared" si="1"/>
        <v>0</v>
      </c>
    </row>
    <row r="15" spans="1:23">
      <c r="A15" s="1382" t="s">
        <v>382</v>
      </c>
      <c r="B15" s="1407"/>
      <c r="C15" s="1366"/>
      <c r="D15" s="1366"/>
      <c r="E15" s="1366"/>
      <c r="F15" s="1366"/>
      <c r="G15" s="1366"/>
      <c r="H15" s="1366"/>
      <c r="I15" s="1366"/>
      <c r="J15" s="1366"/>
      <c r="K15" s="1366"/>
      <c r="L15" s="1366"/>
      <c r="M15" s="1366"/>
      <c r="N15" s="1366"/>
      <c r="O15" s="1366"/>
      <c r="P15" s="1366"/>
      <c r="Q15" s="1364">
        <f t="shared" si="0"/>
        <v>0</v>
      </c>
      <c r="R15" s="1364"/>
      <c r="S15" s="1408"/>
      <c r="T15" s="1364"/>
      <c r="U15" s="1408"/>
      <c r="V15" s="1363"/>
      <c r="W15" s="1406">
        <f t="shared" si="1"/>
        <v>0</v>
      </c>
    </row>
    <row r="16" spans="1:23">
      <c r="A16" s="1382" t="s">
        <v>382</v>
      </c>
      <c r="B16" s="1407"/>
      <c r="C16" s="1366"/>
      <c r="D16" s="1366"/>
      <c r="E16" s="1366"/>
      <c r="F16" s="1366"/>
      <c r="G16" s="1366"/>
      <c r="H16" s="1366"/>
      <c r="I16" s="1366"/>
      <c r="J16" s="1366"/>
      <c r="K16" s="1366"/>
      <c r="L16" s="1366"/>
      <c r="M16" s="1366"/>
      <c r="N16" s="1366"/>
      <c r="O16" s="1366"/>
      <c r="P16" s="1366"/>
      <c r="Q16" s="1364">
        <f t="shared" si="0"/>
        <v>0</v>
      </c>
      <c r="R16" s="1364"/>
      <c r="S16" s="1408"/>
      <c r="T16" s="1364"/>
      <c r="U16" s="1408"/>
      <c r="V16" s="1363"/>
      <c r="W16" s="1406">
        <f t="shared" si="1"/>
        <v>0</v>
      </c>
    </row>
    <row r="17" spans="1:23">
      <c r="A17" s="1382" t="s">
        <v>382</v>
      </c>
      <c r="B17" s="1407"/>
      <c r="C17" s="1366"/>
      <c r="D17" s="1366"/>
      <c r="E17" s="1366"/>
      <c r="F17" s="1366"/>
      <c r="G17" s="1366"/>
      <c r="H17" s="1366"/>
      <c r="I17" s="1366"/>
      <c r="J17" s="1366"/>
      <c r="K17" s="1366"/>
      <c r="L17" s="1366"/>
      <c r="M17" s="1366"/>
      <c r="N17" s="1366"/>
      <c r="O17" s="1366"/>
      <c r="P17" s="1366"/>
      <c r="Q17" s="1364">
        <f t="shared" si="0"/>
        <v>0</v>
      </c>
      <c r="R17" s="1364"/>
      <c r="S17" s="1408"/>
      <c r="T17" s="1364"/>
      <c r="U17" s="1408"/>
      <c r="V17" s="1363"/>
      <c r="W17" s="1406">
        <f t="shared" si="1"/>
        <v>0</v>
      </c>
    </row>
    <row r="18" spans="1:23">
      <c r="A18" s="1382" t="s">
        <v>382</v>
      </c>
      <c r="B18" s="1407"/>
      <c r="C18" s="1366"/>
      <c r="D18" s="1366"/>
      <c r="E18" s="1366"/>
      <c r="F18" s="1366"/>
      <c r="G18" s="1366"/>
      <c r="H18" s="1366"/>
      <c r="I18" s="1366"/>
      <c r="J18" s="1366"/>
      <c r="K18" s="1366"/>
      <c r="L18" s="1366"/>
      <c r="M18" s="1366"/>
      <c r="N18" s="1366"/>
      <c r="O18" s="1366"/>
      <c r="P18" s="1366"/>
      <c r="Q18" s="1364">
        <f t="shared" si="0"/>
        <v>0</v>
      </c>
      <c r="R18" s="1364"/>
      <c r="S18" s="1408"/>
      <c r="T18" s="1364"/>
      <c r="U18" s="1408"/>
      <c r="V18" s="1363"/>
      <c r="W18" s="1406">
        <f t="shared" si="1"/>
        <v>0</v>
      </c>
    </row>
    <row r="19" spans="1:23">
      <c r="A19" s="1382" t="s">
        <v>382</v>
      </c>
      <c r="B19" s="1407"/>
      <c r="C19" s="1366"/>
      <c r="D19" s="1366"/>
      <c r="E19" s="1366"/>
      <c r="F19" s="1366"/>
      <c r="G19" s="1366"/>
      <c r="H19" s="1366"/>
      <c r="I19" s="1366"/>
      <c r="J19" s="1366"/>
      <c r="K19" s="1366"/>
      <c r="L19" s="1366"/>
      <c r="M19" s="1366"/>
      <c r="N19" s="1366"/>
      <c r="O19" s="1366"/>
      <c r="P19" s="1366"/>
      <c r="Q19" s="1364">
        <f t="shared" si="0"/>
        <v>0</v>
      </c>
      <c r="R19" s="1364"/>
      <c r="S19" s="1408"/>
      <c r="T19" s="1364"/>
      <c r="U19" s="1408"/>
      <c r="V19" s="1363"/>
      <c r="W19" s="1406">
        <f t="shared" si="1"/>
        <v>0</v>
      </c>
    </row>
    <row r="20" spans="1:23">
      <c r="A20" s="1382" t="s">
        <v>382</v>
      </c>
      <c r="B20" s="1407"/>
      <c r="C20" s="1366"/>
      <c r="D20" s="1366"/>
      <c r="E20" s="1366"/>
      <c r="F20" s="1366"/>
      <c r="G20" s="1366"/>
      <c r="H20" s="1366"/>
      <c r="I20" s="1366"/>
      <c r="J20" s="1366"/>
      <c r="K20" s="1366"/>
      <c r="L20" s="1366"/>
      <c r="M20" s="1366"/>
      <c r="N20" s="1366"/>
      <c r="O20" s="1366"/>
      <c r="P20" s="1366"/>
      <c r="Q20" s="1364">
        <f t="shared" si="0"/>
        <v>0</v>
      </c>
      <c r="R20" s="1364"/>
      <c r="S20" s="1408"/>
      <c r="T20" s="1364"/>
      <c r="U20" s="1408"/>
      <c r="V20" s="1363"/>
      <c r="W20" s="1406">
        <f t="shared" si="1"/>
        <v>0</v>
      </c>
    </row>
    <row r="21" spans="1:23">
      <c r="A21" s="1382" t="s">
        <v>382</v>
      </c>
      <c r="B21" s="1407"/>
      <c r="C21" s="1366"/>
      <c r="D21" s="1366"/>
      <c r="E21" s="1366"/>
      <c r="F21" s="1366"/>
      <c r="G21" s="1366"/>
      <c r="H21" s="1366"/>
      <c r="I21" s="1366"/>
      <c r="J21" s="1366"/>
      <c r="K21" s="1366"/>
      <c r="L21" s="1366"/>
      <c r="M21" s="1366"/>
      <c r="N21" s="1366"/>
      <c r="O21" s="1366"/>
      <c r="P21" s="1366"/>
      <c r="Q21" s="1364">
        <f t="shared" si="0"/>
        <v>0</v>
      </c>
      <c r="R21" s="1364"/>
      <c r="S21" s="1408"/>
      <c r="T21" s="1364"/>
      <c r="U21" s="1408"/>
      <c r="V21" s="1363"/>
      <c r="W21" s="1406">
        <f t="shared" si="1"/>
        <v>0</v>
      </c>
    </row>
    <row r="22" spans="1:23">
      <c r="A22" s="1382" t="s">
        <v>382</v>
      </c>
      <c r="B22" s="1407"/>
      <c r="C22" s="1366"/>
      <c r="D22" s="1366"/>
      <c r="E22" s="1366"/>
      <c r="F22" s="1366"/>
      <c r="G22" s="1366"/>
      <c r="H22" s="1366"/>
      <c r="I22" s="1366"/>
      <c r="J22" s="1366"/>
      <c r="K22" s="1366"/>
      <c r="L22" s="1366"/>
      <c r="M22" s="1366"/>
      <c r="N22" s="1366"/>
      <c r="O22" s="1366"/>
      <c r="P22" s="1366"/>
      <c r="Q22" s="1364">
        <f t="shared" si="0"/>
        <v>0</v>
      </c>
      <c r="R22" s="1364"/>
      <c r="S22" s="1408"/>
      <c r="T22" s="1364"/>
      <c r="U22" s="1408"/>
      <c r="V22" s="1363"/>
      <c r="W22" s="1406">
        <f t="shared" si="1"/>
        <v>0</v>
      </c>
    </row>
    <row r="23" spans="1:23">
      <c r="A23" s="1382" t="s">
        <v>382</v>
      </c>
      <c r="B23" s="1407"/>
      <c r="C23" s="1366"/>
      <c r="D23" s="1366"/>
      <c r="E23" s="1366"/>
      <c r="F23" s="1366"/>
      <c r="G23" s="1366"/>
      <c r="H23" s="1366"/>
      <c r="I23" s="1366"/>
      <c r="J23" s="1366"/>
      <c r="K23" s="1366"/>
      <c r="L23" s="1366"/>
      <c r="M23" s="1366"/>
      <c r="N23" s="1366"/>
      <c r="O23" s="1366"/>
      <c r="P23" s="1366"/>
      <c r="Q23" s="1364">
        <f t="shared" si="0"/>
        <v>0</v>
      </c>
      <c r="R23" s="1364"/>
      <c r="S23" s="1408"/>
      <c r="T23" s="1364"/>
      <c r="U23" s="1408"/>
      <c r="V23" s="1363"/>
      <c r="W23" s="1406">
        <f t="shared" si="1"/>
        <v>0</v>
      </c>
    </row>
    <row r="24" spans="1:23">
      <c r="A24" s="1382" t="s">
        <v>382</v>
      </c>
      <c r="B24" s="1407"/>
      <c r="C24" s="1366"/>
      <c r="D24" s="1366"/>
      <c r="E24" s="1366"/>
      <c r="F24" s="1366"/>
      <c r="G24" s="1366"/>
      <c r="H24" s="1366"/>
      <c r="I24" s="1366"/>
      <c r="J24" s="1366"/>
      <c r="K24" s="1366"/>
      <c r="L24" s="1366"/>
      <c r="M24" s="1366"/>
      <c r="N24" s="1366"/>
      <c r="O24" s="1366"/>
      <c r="P24" s="1366"/>
      <c r="Q24" s="1364">
        <f t="shared" si="0"/>
        <v>0</v>
      </c>
      <c r="R24" s="1364"/>
      <c r="S24" s="1408"/>
      <c r="T24" s="1364"/>
      <c r="U24" s="1408"/>
      <c r="V24" s="1363"/>
      <c r="W24" s="1406">
        <f t="shared" si="1"/>
        <v>0</v>
      </c>
    </row>
    <row r="25" spans="1:23">
      <c r="A25" s="1382" t="s">
        <v>382</v>
      </c>
      <c r="B25" s="1407"/>
      <c r="C25" s="1366"/>
      <c r="D25" s="1366"/>
      <c r="E25" s="1366"/>
      <c r="F25" s="1366"/>
      <c r="G25" s="1366"/>
      <c r="H25" s="1366"/>
      <c r="I25" s="1366"/>
      <c r="J25" s="1366"/>
      <c r="K25" s="1366"/>
      <c r="L25" s="1366"/>
      <c r="M25" s="1366"/>
      <c r="N25" s="1366"/>
      <c r="O25" s="1366"/>
      <c r="P25" s="1366"/>
      <c r="Q25" s="1364">
        <f t="shared" si="0"/>
        <v>0</v>
      </c>
      <c r="R25" s="1364"/>
      <c r="S25" s="1408"/>
      <c r="T25" s="1364"/>
      <c r="U25" s="1408"/>
      <c r="V25" s="1363"/>
      <c r="W25" s="1406">
        <f t="shared" si="1"/>
        <v>0</v>
      </c>
    </row>
    <row r="26" spans="1:23">
      <c r="A26" s="1382" t="s">
        <v>382</v>
      </c>
      <c r="B26" s="1407"/>
      <c r="C26" s="1366"/>
      <c r="D26" s="1366"/>
      <c r="E26" s="1366"/>
      <c r="F26" s="1366"/>
      <c r="G26" s="1366"/>
      <c r="H26" s="1366"/>
      <c r="I26" s="1366"/>
      <c r="J26" s="1366"/>
      <c r="K26" s="1366"/>
      <c r="L26" s="1366"/>
      <c r="M26" s="1366"/>
      <c r="N26" s="1366"/>
      <c r="O26" s="1366"/>
      <c r="P26" s="1366"/>
      <c r="Q26" s="1364">
        <f t="shared" si="0"/>
        <v>0</v>
      </c>
      <c r="R26" s="1364"/>
      <c r="S26" s="1408"/>
      <c r="T26" s="1364"/>
      <c r="U26" s="1408"/>
      <c r="V26" s="1363"/>
      <c r="W26" s="1406">
        <f t="shared" si="1"/>
        <v>0</v>
      </c>
    </row>
    <row r="27" spans="1:23">
      <c r="A27" s="1382" t="s">
        <v>382</v>
      </c>
      <c r="B27" s="1407"/>
      <c r="C27" s="1366"/>
      <c r="D27" s="1366"/>
      <c r="E27" s="1366"/>
      <c r="F27" s="1366"/>
      <c r="G27" s="1366"/>
      <c r="H27" s="1366"/>
      <c r="I27" s="1366"/>
      <c r="J27" s="1366"/>
      <c r="K27" s="1366"/>
      <c r="L27" s="1366"/>
      <c r="M27" s="1366"/>
      <c r="N27" s="1366"/>
      <c r="O27" s="1366"/>
      <c r="P27" s="1366"/>
      <c r="Q27" s="1364">
        <f t="shared" si="0"/>
        <v>0</v>
      </c>
      <c r="R27" s="1364"/>
      <c r="S27" s="1408"/>
      <c r="T27" s="1364"/>
      <c r="U27" s="1408"/>
      <c r="V27" s="1363"/>
      <c r="W27" s="1406">
        <f t="shared" si="1"/>
        <v>0</v>
      </c>
    </row>
    <row r="28" spans="1:23">
      <c r="A28" s="1382" t="s">
        <v>382</v>
      </c>
      <c r="B28" s="1407"/>
      <c r="C28" s="1366"/>
      <c r="D28" s="1366"/>
      <c r="E28" s="1366"/>
      <c r="F28" s="1366"/>
      <c r="G28" s="1366"/>
      <c r="H28" s="1366"/>
      <c r="I28" s="1366"/>
      <c r="J28" s="1366"/>
      <c r="K28" s="1366"/>
      <c r="L28" s="1366"/>
      <c r="M28" s="1366"/>
      <c r="N28" s="1366"/>
      <c r="O28" s="1366"/>
      <c r="P28" s="1366"/>
      <c r="Q28" s="1364">
        <f t="shared" si="0"/>
        <v>0</v>
      </c>
      <c r="R28" s="1364"/>
      <c r="S28" s="1408"/>
      <c r="T28" s="1364"/>
      <c r="U28" s="1408"/>
      <c r="V28" s="1363"/>
      <c r="W28" s="1406">
        <f t="shared" si="1"/>
        <v>0</v>
      </c>
    </row>
    <row r="29" spans="1:23">
      <c r="A29" s="1382" t="s">
        <v>382</v>
      </c>
      <c r="B29" s="1407"/>
      <c r="C29" s="1366"/>
      <c r="D29" s="1366"/>
      <c r="E29" s="1366"/>
      <c r="F29" s="1366"/>
      <c r="G29" s="1366"/>
      <c r="H29" s="1366"/>
      <c r="I29" s="1366"/>
      <c r="J29" s="1366"/>
      <c r="K29" s="1366"/>
      <c r="L29" s="1366"/>
      <c r="M29" s="1366"/>
      <c r="N29" s="1366"/>
      <c r="O29" s="1366"/>
      <c r="P29" s="1366"/>
      <c r="Q29" s="1364">
        <f t="shared" si="0"/>
        <v>0</v>
      </c>
      <c r="R29" s="1364"/>
      <c r="S29" s="1408"/>
      <c r="T29" s="1364"/>
      <c r="U29" s="1408"/>
      <c r="V29" s="1363"/>
      <c r="W29" s="1406">
        <f t="shared" si="1"/>
        <v>0</v>
      </c>
    </row>
    <row r="30" spans="1:23">
      <c r="A30" s="1382" t="s">
        <v>382</v>
      </c>
      <c r="B30" s="1407"/>
      <c r="C30" s="1366"/>
      <c r="D30" s="1366"/>
      <c r="E30" s="1366"/>
      <c r="F30" s="1366"/>
      <c r="G30" s="1366"/>
      <c r="H30" s="1366"/>
      <c r="I30" s="1366"/>
      <c r="J30" s="1366"/>
      <c r="K30" s="1366"/>
      <c r="L30" s="1366"/>
      <c r="M30" s="1366"/>
      <c r="N30" s="1366"/>
      <c r="O30" s="1366"/>
      <c r="P30" s="1366"/>
      <c r="Q30" s="1364">
        <f t="shared" si="0"/>
        <v>0</v>
      </c>
      <c r="R30" s="1364"/>
      <c r="S30" s="1408"/>
      <c r="T30" s="1364"/>
      <c r="U30" s="1408"/>
      <c r="V30" s="1363"/>
      <c r="W30" s="1406">
        <f t="shared" si="1"/>
        <v>0</v>
      </c>
    </row>
    <row r="31" spans="1:23">
      <c r="A31" s="1382" t="s">
        <v>316</v>
      </c>
      <c r="B31" s="1407"/>
      <c r="C31" s="1366"/>
      <c r="D31" s="1366"/>
      <c r="E31" s="1366"/>
      <c r="F31" s="1366"/>
      <c r="G31" s="1366"/>
      <c r="H31" s="1366"/>
      <c r="I31" s="1366"/>
      <c r="J31" s="1366"/>
      <c r="K31" s="1366"/>
      <c r="L31" s="1366"/>
      <c r="M31" s="1366"/>
      <c r="N31" s="1366"/>
      <c r="O31" s="1366"/>
      <c r="P31" s="1366"/>
      <c r="Q31" s="1364">
        <f t="shared" si="0"/>
        <v>0</v>
      </c>
      <c r="R31" s="1364"/>
      <c r="S31" s="1408"/>
      <c r="T31" s="1364"/>
      <c r="U31" s="1408"/>
      <c r="V31" s="1363"/>
      <c r="W31" s="1406">
        <f t="shared" si="1"/>
        <v>0</v>
      </c>
    </row>
    <row r="32" spans="1:23" ht="15" customHeight="1">
      <c r="A32" s="1382">
        <v>2</v>
      </c>
      <c r="E32" s="1410"/>
      <c r="F32" s="1410"/>
      <c r="G32" s="1410"/>
      <c r="H32" s="1410"/>
      <c r="I32" s="1410"/>
      <c r="J32" s="1410"/>
      <c r="K32" s="1410"/>
      <c r="L32" s="1410"/>
      <c r="M32" s="1410"/>
      <c r="N32" s="1622" t="s">
        <v>991</v>
      </c>
      <c r="O32" s="1622"/>
      <c r="P32" s="1622"/>
      <c r="Q32" s="1411">
        <f>SUM(Q7:Q31)</f>
        <v>0</v>
      </c>
      <c r="R32" s="1372"/>
      <c r="S32" s="1622" t="s">
        <v>992</v>
      </c>
      <c r="T32" s="1622"/>
      <c r="U32" s="1622"/>
      <c r="V32" s="1622"/>
      <c r="W32" s="1412">
        <f>SUM(W7:W31)</f>
        <v>0</v>
      </c>
    </row>
    <row r="33" spans="1:26">
      <c r="A33" s="1362"/>
      <c r="B33" s="1392"/>
      <c r="C33" s="1409" t="s">
        <v>879</v>
      </c>
      <c r="E33" s="1409"/>
      <c r="V33" s="1388"/>
      <c r="W33" s="1390"/>
    </row>
    <row r="34" spans="1:26" ht="12" customHeight="1">
      <c r="A34" s="1362"/>
      <c r="B34" s="1396" t="s">
        <v>10</v>
      </c>
      <c r="C34" s="1620" t="s">
        <v>993</v>
      </c>
      <c r="D34" s="1620"/>
      <c r="E34" s="1620"/>
      <c r="F34" s="1620"/>
      <c r="G34" s="1620"/>
      <c r="H34" s="1620"/>
      <c r="I34" s="1620"/>
      <c r="J34" s="1620"/>
      <c r="K34" s="1413"/>
      <c r="L34" s="1621"/>
      <c r="M34" s="1621"/>
      <c r="N34" s="1621"/>
      <c r="O34" s="1621"/>
      <c r="P34" s="1621"/>
      <c r="Q34" s="1621"/>
      <c r="R34" s="1621"/>
      <c r="S34" s="1621"/>
      <c r="T34" s="1621"/>
      <c r="U34" s="1621"/>
      <c r="V34" s="1621"/>
      <c r="W34" s="1621"/>
      <c r="X34" s="1414"/>
      <c r="Y34" s="1414"/>
    </row>
    <row r="35" spans="1:26" ht="12" customHeight="1">
      <c r="A35" s="1362"/>
      <c r="B35" s="1396"/>
      <c r="C35" s="1620"/>
      <c r="D35" s="1620"/>
      <c r="E35" s="1620"/>
      <c r="F35" s="1620"/>
      <c r="G35" s="1620"/>
      <c r="H35" s="1620"/>
      <c r="I35" s="1620"/>
      <c r="J35" s="1620"/>
      <c r="L35" s="1621"/>
      <c r="M35" s="1621"/>
      <c r="N35" s="1621"/>
      <c r="O35" s="1621"/>
      <c r="P35" s="1621"/>
      <c r="Q35" s="1621"/>
      <c r="R35" s="1621"/>
      <c r="S35" s="1621"/>
      <c r="T35" s="1621"/>
      <c r="U35" s="1621"/>
      <c r="V35" s="1621"/>
      <c r="W35" s="1621"/>
      <c r="X35" s="1414"/>
      <c r="Y35" s="1415"/>
    </row>
    <row r="36" spans="1:26">
      <c r="A36" s="1362"/>
      <c r="B36" s="1396"/>
      <c r="C36" s="1620"/>
      <c r="D36" s="1620"/>
      <c r="E36" s="1620"/>
      <c r="F36" s="1620"/>
      <c r="G36" s="1620"/>
      <c r="H36" s="1620"/>
      <c r="I36" s="1620"/>
      <c r="J36" s="1620"/>
      <c r="K36" s="1416"/>
      <c r="L36" s="1621"/>
      <c r="M36" s="1621"/>
      <c r="N36" s="1621"/>
      <c r="O36" s="1621"/>
      <c r="P36" s="1621"/>
      <c r="Q36" s="1621"/>
      <c r="R36" s="1621"/>
      <c r="S36" s="1621"/>
      <c r="T36" s="1621"/>
      <c r="U36" s="1621"/>
      <c r="V36" s="1621"/>
      <c r="W36" s="1621"/>
      <c r="X36" s="1414"/>
      <c r="Y36" s="1415"/>
      <c r="Z36" s="1415"/>
    </row>
    <row r="37" spans="1:26" ht="11.25" customHeight="1">
      <c r="A37" s="1396"/>
      <c r="C37" s="1620"/>
      <c r="D37" s="1620"/>
      <c r="E37" s="1620"/>
      <c r="F37" s="1620"/>
      <c r="G37" s="1620"/>
      <c r="H37" s="1620"/>
      <c r="I37" s="1620"/>
      <c r="J37" s="1620"/>
      <c r="K37" s="1362"/>
      <c r="L37" s="1362"/>
      <c r="M37" s="1362"/>
      <c r="N37" s="1362"/>
      <c r="O37" s="1362"/>
      <c r="P37" s="1362"/>
      <c r="Q37" s="1362"/>
      <c r="R37" s="1362"/>
      <c r="S37" s="1362"/>
      <c r="T37" s="1362"/>
      <c r="U37" s="1362"/>
      <c r="V37" s="1362"/>
    </row>
    <row r="38" spans="1:26" ht="11.25" customHeight="1">
      <c r="A38" s="1396"/>
      <c r="C38" s="1620"/>
      <c r="D38" s="1620"/>
      <c r="E38" s="1620"/>
      <c r="F38" s="1620"/>
      <c r="G38" s="1620"/>
      <c r="H38" s="1620"/>
      <c r="I38" s="1620"/>
      <c r="J38" s="1620"/>
      <c r="K38" s="1362"/>
      <c r="L38" s="1362"/>
      <c r="M38" s="1362"/>
      <c r="N38" s="1362"/>
      <c r="O38" s="1362"/>
      <c r="P38" s="1362"/>
      <c r="Q38" s="1362"/>
      <c r="R38" s="1362"/>
      <c r="S38" s="1362"/>
      <c r="T38" s="1362"/>
      <c r="U38" s="1362"/>
      <c r="V38" s="1362"/>
    </row>
    <row r="39" spans="1:26" ht="11.25" customHeight="1">
      <c r="A39" s="1392"/>
      <c r="J39" s="1414"/>
      <c r="K39" s="1362"/>
      <c r="L39" s="1362"/>
      <c r="M39" s="1362"/>
      <c r="N39" s="1362"/>
      <c r="O39" s="1362"/>
      <c r="P39" s="1362"/>
      <c r="Q39" s="1362"/>
      <c r="R39" s="1362"/>
      <c r="S39" s="1362"/>
      <c r="T39" s="1362"/>
      <c r="U39" s="1362"/>
      <c r="V39" s="1362"/>
    </row>
    <row r="40" spans="1:26">
      <c r="A40" s="1392"/>
      <c r="V40" s="1362"/>
    </row>
    <row r="41" spans="1:26">
      <c r="A41" s="1392"/>
      <c r="V41" s="1362"/>
    </row>
    <row r="42" spans="1:26">
      <c r="A42" s="1392"/>
      <c r="V42" s="1362"/>
    </row>
    <row r="43" spans="1:26">
      <c r="A43" s="1392"/>
      <c r="V43" s="1362"/>
    </row>
  </sheetData>
  <mergeCells count="14">
    <mergeCell ref="A5:A6"/>
    <mergeCell ref="B5:B6"/>
    <mergeCell ref="C5:C6"/>
    <mergeCell ref="Q5:Q6"/>
    <mergeCell ref="R5:R6"/>
    <mergeCell ref="C34:J38"/>
    <mergeCell ref="L34:W36"/>
    <mergeCell ref="T5:T6"/>
    <mergeCell ref="U5:U6"/>
    <mergeCell ref="V5:V6"/>
    <mergeCell ref="W5:W6"/>
    <mergeCell ref="N32:P32"/>
    <mergeCell ref="S32:V32"/>
    <mergeCell ref="S5:S6"/>
  </mergeCells>
  <pageMargins left="0.70866141732283472" right="0.70866141732283472" top="0.74803149606299213" bottom="0.74803149606299213" header="0.31496062992125984" footer="0.31496062992125984"/>
  <pageSetup scale="56" orientation="landscape" r:id="rId1"/>
  <headerFooter>
    <oddHeader xml:space="preserve">&amp;C&amp;"Arial,Bold"Attachment 12 - Unfunded Reserves
MidAmerican Central California Transco, LLC
</oddHeader>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pageSetUpPr fitToPage="1"/>
  </sheetPr>
  <dimension ref="A1:AC46"/>
  <sheetViews>
    <sheetView view="pageBreakPreview" zoomScale="60" zoomScaleNormal="100" workbookViewId="0"/>
  </sheetViews>
  <sheetFormatPr defaultColWidth="7" defaultRowHeight="11.25"/>
  <cols>
    <col min="1" max="2" width="2.77734375" style="1382" customWidth="1"/>
    <col min="3" max="3" width="48.5546875" style="1362" customWidth="1"/>
    <col min="4" max="4" width="12.44140625" style="1362" customWidth="1"/>
    <col min="5" max="5" width="10.77734375" style="1362" customWidth="1"/>
    <col min="6" max="6" width="9.109375" style="1362" customWidth="1"/>
    <col min="7" max="7" width="9.77734375" style="1362" customWidth="1"/>
    <col min="8" max="16" width="7.77734375" style="1362" customWidth="1"/>
    <col min="17" max="17" width="7.77734375" style="1382" customWidth="1"/>
    <col min="18" max="18" width="7.77734375" style="1388" customWidth="1"/>
    <col min="19" max="19" width="7.77734375" style="1389" customWidth="1"/>
    <col min="20" max="20" width="7.77734375" style="1390" customWidth="1"/>
    <col min="21" max="21" width="10.77734375" style="1391" bestFit="1" customWidth="1"/>
    <col min="22" max="22" width="1.21875" style="1436" customWidth="1"/>
    <col min="23" max="23" width="10.21875" style="1382" customWidth="1"/>
    <col min="24" max="24" width="1.21875" style="1436" customWidth="1"/>
    <col min="25" max="25" width="7.77734375" style="1382" customWidth="1"/>
    <col min="26" max="26" width="8.109375" style="1362" customWidth="1"/>
    <col min="27" max="27" width="1.21875" style="1382" customWidth="1"/>
    <col min="28" max="28" width="8.21875" style="1362" customWidth="1"/>
    <col min="29" max="29" width="1.21875" style="1382" customWidth="1"/>
    <col min="30" max="30" width="6.77734375" style="1362" customWidth="1"/>
    <col min="31" max="31" width="1.44140625" style="1362" customWidth="1"/>
    <col min="32" max="32" width="7.109375" style="1362" customWidth="1"/>
    <col min="33" max="16384" width="7" style="1362"/>
  </cols>
  <sheetData>
    <row r="1" spans="1:29" ht="15">
      <c r="A1" s="1242" t="s">
        <v>1069</v>
      </c>
      <c r="H1" s="1242" t="s">
        <v>1069</v>
      </c>
      <c r="U1" s="1242" t="s">
        <v>1069</v>
      </c>
    </row>
    <row r="2" spans="1:29" ht="15.75">
      <c r="A2" s="1242" t="s">
        <v>1068</v>
      </c>
      <c r="H2" s="1242" t="s">
        <v>1068</v>
      </c>
      <c r="U2" s="1242" t="s">
        <v>1068</v>
      </c>
    </row>
    <row r="4" spans="1:29" s="1348" customFormat="1">
      <c r="C4" s="1348" t="s">
        <v>461</v>
      </c>
      <c r="D4" s="1348" t="s">
        <v>593</v>
      </c>
      <c r="E4" s="1348" t="s">
        <v>840</v>
      </c>
      <c r="F4" s="1348" t="s">
        <v>591</v>
      </c>
      <c r="G4" s="1348" t="s">
        <v>841</v>
      </c>
      <c r="H4" s="1348" t="s">
        <v>589</v>
      </c>
      <c r="I4" s="1348" t="s">
        <v>588</v>
      </c>
      <c r="J4" s="1348" t="s">
        <v>587</v>
      </c>
      <c r="K4" s="1348" t="s">
        <v>849</v>
      </c>
      <c r="L4" s="1348" t="s">
        <v>850</v>
      </c>
      <c r="M4" s="1348" t="s">
        <v>851</v>
      </c>
      <c r="N4" s="1348" t="s">
        <v>852</v>
      </c>
      <c r="O4" s="1348" t="s">
        <v>853</v>
      </c>
      <c r="P4" s="1349" t="s">
        <v>854</v>
      </c>
      <c r="Q4" s="1348" t="s">
        <v>855</v>
      </c>
      <c r="R4" s="1350" t="s">
        <v>856</v>
      </c>
      <c r="S4" s="1348" t="s">
        <v>857</v>
      </c>
      <c r="T4" s="1348" t="s">
        <v>858</v>
      </c>
      <c r="U4" s="1348" t="s">
        <v>859</v>
      </c>
      <c r="W4" s="1348" t="s">
        <v>860</v>
      </c>
      <c r="Y4" s="1348" t="s">
        <v>861</v>
      </c>
    </row>
    <row r="5" spans="1:29" s="1355" customFormat="1" ht="41.25" customHeight="1">
      <c r="A5" s="1626" t="s">
        <v>17</v>
      </c>
      <c r="B5" s="1428"/>
      <c r="C5" s="1626" t="s">
        <v>395</v>
      </c>
      <c r="D5" s="1626" t="s">
        <v>1009</v>
      </c>
      <c r="E5" s="1626" t="s">
        <v>862</v>
      </c>
      <c r="F5" s="1626" t="s">
        <v>863</v>
      </c>
      <c r="G5" s="1626" t="s">
        <v>864</v>
      </c>
      <c r="H5" s="1399" t="s">
        <v>865</v>
      </c>
      <c r="I5" s="1354" t="s">
        <v>866</v>
      </c>
      <c r="J5" s="1354" t="s">
        <v>867</v>
      </c>
      <c r="K5" s="1354" t="s">
        <v>868</v>
      </c>
      <c r="L5" s="1354" t="s">
        <v>869</v>
      </c>
      <c r="M5" s="1354" t="s">
        <v>870</v>
      </c>
      <c r="N5" s="1354" t="s">
        <v>869</v>
      </c>
      <c r="O5" s="1354" t="s">
        <v>871</v>
      </c>
      <c r="P5" s="1354" t="s">
        <v>872</v>
      </c>
      <c r="Q5" s="1354" t="s">
        <v>873</v>
      </c>
      <c r="R5" s="1354" t="s">
        <v>874</v>
      </c>
      <c r="S5" s="1354" t="s">
        <v>875</v>
      </c>
      <c r="T5" s="1354" t="s">
        <v>865</v>
      </c>
      <c r="U5" s="1626" t="s">
        <v>876</v>
      </c>
      <c r="V5" s="1626" t="s">
        <v>846</v>
      </c>
      <c r="W5" s="1626" t="s">
        <v>877</v>
      </c>
      <c r="X5" s="1626" t="s">
        <v>66</v>
      </c>
      <c r="Y5" s="1626" t="s">
        <v>878</v>
      </c>
    </row>
    <row r="6" spans="1:29" s="1355" customFormat="1" ht="11.25" customHeight="1">
      <c r="A6" s="1618"/>
      <c r="B6" s="1418"/>
      <c r="C6" s="1618"/>
      <c r="D6" s="1618"/>
      <c r="E6" s="1618" t="s">
        <v>862</v>
      </c>
      <c r="F6" s="1618"/>
      <c r="G6" s="1618"/>
      <c r="H6" s="1451" t="s">
        <v>1079</v>
      </c>
      <c r="I6" s="1452" t="s">
        <v>1097</v>
      </c>
      <c r="J6" s="1452" t="s">
        <v>1097</v>
      </c>
      <c r="K6" s="1452" t="s">
        <v>1097</v>
      </c>
      <c r="L6" s="1452" t="s">
        <v>1097</v>
      </c>
      <c r="M6" s="1452" t="s">
        <v>1097</v>
      </c>
      <c r="N6" s="1452" t="s">
        <v>1097</v>
      </c>
      <c r="O6" s="1452" t="s">
        <v>1097</v>
      </c>
      <c r="P6" s="1452" t="s">
        <v>1097</v>
      </c>
      <c r="Q6" s="1452" t="s">
        <v>1097</v>
      </c>
      <c r="R6" s="1452" t="s">
        <v>1097</v>
      </c>
      <c r="S6" s="1452" t="s">
        <v>1097</v>
      </c>
      <c r="T6" s="1452" t="s">
        <v>1097</v>
      </c>
      <c r="U6" s="1618"/>
      <c r="V6" s="1618"/>
      <c r="W6" s="1618"/>
      <c r="X6" s="1618"/>
      <c r="Y6" s="1618"/>
    </row>
    <row r="7" spans="1:29">
      <c r="A7" s="1405" t="s">
        <v>313</v>
      </c>
      <c r="B7" s="1405"/>
      <c r="C7" s="1442"/>
      <c r="D7" s="1443"/>
      <c r="E7" s="1444"/>
      <c r="F7" s="1444"/>
      <c r="G7" s="1445"/>
      <c r="H7" s="1446"/>
      <c r="I7" s="1446"/>
      <c r="J7" s="1446"/>
      <c r="K7" s="1446"/>
      <c r="L7" s="1446"/>
      <c r="M7" s="1446"/>
      <c r="N7" s="1446"/>
      <c r="O7" s="1446"/>
      <c r="P7" s="1446"/>
      <c r="Q7" s="1446"/>
      <c r="R7" s="1446"/>
      <c r="S7" s="1446"/>
      <c r="T7" s="1446"/>
      <c r="U7" s="1403">
        <f t="shared" ref="U7:U31" si="0">SUM(H7:T7)/13</f>
        <v>0</v>
      </c>
      <c r="V7" s="1429"/>
      <c r="W7" s="1440">
        <v>0</v>
      </c>
      <c r="X7" s="1429"/>
      <c r="Y7" s="1406">
        <f t="shared" ref="Y7:Y31" si="1">U7*W7</f>
        <v>0</v>
      </c>
      <c r="AA7" s="1362"/>
      <c r="AC7" s="1362"/>
    </row>
    <row r="8" spans="1:29">
      <c r="A8" s="1363" t="s">
        <v>880</v>
      </c>
      <c r="B8" s="1363"/>
      <c r="C8" s="1442"/>
      <c r="D8" s="1442"/>
      <c r="E8" s="1447"/>
      <c r="F8" s="1447"/>
      <c r="G8" s="1445"/>
      <c r="H8" s="1448"/>
      <c r="I8" s="1448"/>
      <c r="J8" s="1448"/>
      <c r="K8" s="1448"/>
      <c r="L8" s="1448"/>
      <c r="M8" s="1448"/>
      <c r="N8" s="1448"/>
      <c r="O8" s="1448"/>
      <c r="P8" s="1448"/>
      <c r="Q8" s="1448"/>
      <c r="R8" s="1448"/>
      <c r="S8" s="1448"/>
      <c r="T8" s="1448"/>
      <c r="U8" s="1364">
        <f t="shared" si="0"/>
        <v>0</v>
      </c>
      <c r="V8" s="1365"/>
      <c r="W8" s="1441">
        <v>0</v>
      </c>
      <c r="X8" s="1365"/>
      <c r="Y8" s="1430">
        <f t="shared" si="1"/>
        <v>0</v>
      </c>
      <c r="AA8" s="1362"/>
      <c r="AC8" s="1362"/>
    </row>
    <row r="9" spans="1:29">
      <c r="A9" s="1363" t="s">
        <v>881</v>
      </c>
      <c r="B9" s="1363"/>
      <c r="C9" s="1442"/>
      <c r="D9" s="1442"/>
      <c r="E9" s="1442"/>
      <c r="F9" s="1442"/>
      <c r="G9" s="1445"/>
      <c r="H9" s="1448"/>
      <c r="I9" s="1448"/>
      <c r="J9" s="1448"/>
      <c r="K9" s="1448"/>
      <c r="L9" s="1448"/>
      <c r="M9" s="1448"/>
      <c r="N9" s="1448"/>
      <c r="O9" s="1448"/>
      <c r="P9" s="1449"/>
      <c r="Q9" s="1448"/>
      <c r="R9" s="1450"/>
      <c r="S9" s="1448"/>
      <c r="T9" s="1449"/>
      <c r="U9" s="1364">
        <f t="shared" si="0"/>
        <v>0</v>
      </c>
      <c r="V9" s="1365"/>
      <c r="W9" s="1441">
        <v>0</v>
      </c>
      <c r="X9" s="1365"/>
      <c r="Y9" s="1430">
        <f t="shared" si="1"/>
        <v>0</v>
      </c>
      <c r="AA9" s="1362"/>
      <c r="AC9" s="1362"/>
    </row>
    <row r="10" spans="1:29">
      <c r="A10" s="1363" t="s">
        <v>382</v>
      </c>
      <c r="B10" s="1363"/>
      <c r="C10" s="1442"/>
      <c r="D10" s="1442"/>
      <c r="E10" s="1442"/>
      <c r="F10" s="1442"/>
      <c r="G10" s="1445"/>
      <c r="H10" s="1448"/>
      <c r="I10" s="1448"/>
      <c r="J10" s="1448"/>
      <c r="K10" s="1448"/>
      <c r="L10" s="1448"/>
      <c r="M10" s="1448"/>
      <c r="N10" s="1448"/>
      <c r="O10" s="1448"/>
      <c r="P10" s="1449"/>
      <c r="Q10" s="1448"/>
      <c r="R10" s="1450"/>
      <c r="S10" s="1448"/>
      <c r="T10" s="1449"/>
      <c r="U10" s="1364">
        <f t="shared" si="0"/>
        <v>0</v>
      </c>
      <c r="V10" s="1365"/>
      <c r="W10" s="1441">
        <v>0</v>
      </c>
      <c r="X10" s="1365"/>
      <c r="Y10" s="1430">
        <f t="shared" si="1"/>
        <v>0</v>
      </c>
      <c r="AA10" s="1362"/>
      <c r="AC10" s="1362"/>
    </row>
    <row r="11" spans="1:29">
      <c r="A11" s="1363" t="s">
        <v>382</v>
      </c>
      <c r="B11" s="1363"/>
      <c r="C11" s="1442"/>
      <c r="D11" s="1442"/>
      <c r="E11" s="1442"/>
      <c r="F11" s="1442"/>
      <c r="G11" s="1445"/>
      <c r="H11" s="1448"/>
      <c r="I11" s="1448"/>
      <c r="J11" s="1448"/>
      <c r="K11" s="1448"/>
      <c r="L11" s="1448"/>
      <c r="M11" s="1448"/>
      <c r="N11" s="1448"/>
      <c r="O11" s="1448"/>
      <c r="P11" s="1449"/>
      <c r="Q11" s="1448"/>
      <c r="R11" s="1450"/>
      <c r="S11" s="1448"/>
      <c r="T11" s="1449"/>
      <c r="U11" s="1364">
        <f t="shared" si="0"/>
        <v>0</v>
      </c>
      <c r="V11" s="1365"/>
      <c r="W11" s="1441">
        <v>0</v>
      </c>
      <c r="X11" s="1365"/>
      <c r="Y11" s="1430">
        <f t="shared" si="1"/>
        <v>0</v>
      </c>
      <c r="AA11" s="1362"/>
      <c r="AC11" s="1362"/>
    </row>
    <row r="12" spans="1:29">
      <c r="A12" s="1363" t="s">
        <v>382</v>
      </c>
      <c r="B12" s="1363"/>
      <c r="C12" s="1442"/>
      <c r="D12" s="1442"/>
      <c r="E12" s="1442"/>
      <c r="F12" s="1442"/>
      <c r="G12" s="1445"/>
      <c r="H12" s="1448"/>
      <c r="I12" s="1448"/>
      <c r="J12" s="1448"/>
      <c r="K12" s="1448"/>
      <c r="L12" s="1448"/>
      <c r="M12" s="1448"/>
      <c r="N12" s="1448"/>
      <c r="O12" s="1448"/>
      <c r="P12" s="1449"/>
      <c r="Q12" s="1448"/>
      <c r="R12" s="1450"/>
      <c r="S12" s="1448"/>
      <c r="T12" s="1449"/>
      <c r="U12" s="1364">
        <f t="shared" si="0"/>
        <v>0</v>
      </c>
      <c r="V12" s="1365"/>
      <c r="W12" s="1441">
        <v>0</v>
      </c>
      <c r="X12" s="1365"/>
      <c r="Y12" s="1430">
        <f t="shared" si="1"/>
        <v>0</v>
      </c>
      <c r="AA12" s="1362"/>
      <c r="AC12" s="1362"/>
    </row>
    <row r="13" spans="1:29">
      <c r="A13" s="1363" t="s">
        <v>382</v>
      </c>
      <c r="B13" s="1363"/>
      <c r="C13" s="1442"/>
      <c r="D13" s="1442"/>
      <c r="E13" s="1442"/>
      <c r="F13" s="1442"/>
      <c r="G13" s="1445"/>
      <c r="H13" s="1448"/>
      <c r="I13" s="1448"/>
      <c r="J13" s="1448"/>
      <c r="K13" s="1448"/>
      <c r="L13" s="1448"/>
      <c r="M13" s="1448"/>
      <c r="N13" s="1448"/>
      <c r="O13" s="1448"/>
      <c r="P13" s="1449"/>
      <c r="Q13" s="1448"/>
      <c r="R13" s="1450"/>
      <c r="S13" s="1448"/>
      <c r="T13" s="1449"/>
      <c r="U13" s="1364">
        <f t="shared" si="0"/>
        <v>0</v>
      </c>
      <c r="V13" s="1365"/>
      <c r="W13" s="1441">
        <v>0</v>
      </c>
      <c r="X13" s="1365"/>
      <c r="Y13" s="1430">
        <f t="shared" si="1"/>
        <v>0</v>
      </c>
      <c r="AA13" s="1362"/>
      <c r="AC13" s="1362"/>
    </row>
    <row r="14" spans="1:29">
      <c r="A14" s="1363" t="s">
        <v>382</v>
      </c>
      <c r="B14" s="1363"/>
      <c r="C14" s="1442"/>
      <c r="D14" s="1442"/>
      <c r="E14" s="1442"/>
      <c r="F14" s="1442"/>
      <c r="G14" s="1445"/>
      <c r="H14" s="1448"/>
      <c r="I14" s="1448"/>
      <c r="J14" s="1448"/>
      <c r="K14" s="1448"/>
      <c r="L14" s="1448"/>
      <c r="M14" s="1448"/>
      <c r="N14" s="1448"/>
      <c r="O14" s="1448"/>
      <c r="P14" s="1449"/>
      <c r="Q14" s="1448"/>
      <c r="R14" s="1450"/>
      <c r="S14" s="1448"/>
      <c r="T14" s="1449"/>
      <c r="U14" s="1364">
        <f t="shared" si="0"/>
        <v>0</v>
      </c>
      <c r="V14" s="1365"/>
      <c r="W14" s="1441">
        <v>0</v>
      </c>
      <c r="X14" s="1365"/>
      <c r="Y14" s="1430">
        <f t="shared" si="1"/>
        <v>0</v>
      </c>
      <c r="AA14" s="1362"/>
      <c r="AC14" s="1362"/>
    </row>
    <row r="15" spans="1:29">
      <c r="A15" s="1363" t="s">
        <v>382</v>
      </c>
      <c r="B15" s="1363"/>
      <c r="C15" s="1442"/>
      <c r="D15" s="1442"/>
      <c r="E15" s="1442"/>
      <c r="F15" s="1442"/>
      <c r="G15" s="1445"/>
      <c r="H15" s="1448"/>
      <c r="I15" s="1448"/>
      <c r="J15" s="1448"/>
      <c r="K15" s="1448"/>
      <c r="L15" s="1448"/>
      <c r="M15" s="1448"/>
      <c r="N15" s="1448"/>
      <c r="O15" s="1448"/>
      <c r="P15" s="1449"/>
      <c r="Q15" s="1448"/>
      <c r="R15" s="1450"/>
      <c r="S15" s="1448"/>
      <c r="T15" s="1449"/>
      <c r="U15" s="1364">
        <f t="shared" si="0"/>
        <v>0</v>
      </c>
      <c r="V15" s="1365"/>
      <c r="W15" s="1441">
        <v>0</v>
      </c>
      <c r="X15" s="1365"/>
      <c r="Y15" s="1430">
        <f t="shared" si="1"/>
        <v>0</v>
      </c>
      <c r="AA15" s="1362"/>
      <c r="AC15" s="1362"/>
    </row>
    <row r="16" spans="1:29">
      <c r="A16" s="1363" t="s">
        <v>382</v>
      </c>
      <c r="B16" s="1363"/>
      <c r="C16" s="1442"/>
      <c r="D16" s="1442"/>
      <c r="E16" s="1442"/>
      <c r="F16" s="1442"/>
      <c r="G16" s="1445"/>
      <c r="H16" s="1448"/>
      <c r="I16" s="1448"/>
      <c r="J16" s="1448"/>
      <c r="K16" s="1448"/>
      <c r="L16" s="1448"/>
      <c r="M16" s="1448"/>
      <c r="N16" s="1448"/>
      <c r="O16" s="1448"/>
      <c r="P16" s="1449"/>
      <c r="Q16" s="1448"/>
      <c r="R16" s="1450"/>
      <c r="S16" s="1448"/>
      <c r="T16" s="1449"/>
      <c r="U16" s="1364">
        <f t="shared" si="0"/>
        <v>0</v>
      </c>
      <c r="V16" s="1365"/>
      <c r="W16" s="1441">
        <v>0</v>
      </c>
      <c r="X16" s="1365"/>
      <c r="Y16" s="1430">
        <f t="shared" si="1"/>
        <v>0</v>
      </c>
      <c r="AA16" s="1362"/>
      <c r="AC16" s="1362"/>
    </row>
    <row r="17" spans="1:29">
      <c r="A17" s="1363" t="s">
        <v>382</v>
      </c>
      <c r="B17" s="1363"/>
      <c r="C17" s="1442"/>
      <c r="D17" s="1442"/>
      <c r="E17" s="1442"/>
      <c r="F17" s="1442"/>
      <c r="G17" s="1445"/>
      <c r="H17" s="1448"/>
      <c r="I17" s="1448"/>
      <c r="J17" s="1448"/>
      <c r="K17" s="1448"/>
      <c r="L17" s="1448"/>
      <c r="M17" s="1448"/>
      <c r="N17" s="1448"/>
      <c r="O17" s="1448"/>
      <c r="P17" s="1449"/>
      <c r="Q17" s="1448"/>
      <c r="R17" s="1450"/>
      <c r="S17" s="1448"/>
      <c r="T17" s="1449"/>
      <c r="U17" s="1364">
        <f t="shared" si="0"/>
        <v>0</v>
      </c>
      <c r="V17" s="1365"/>
      <c r="W17" s="1441">
        <v>0</v>
      </c>
      <c r="X17" s="1365"/>
      <c r="Y17" s="1430">
        <f t="shared" si="1"/>
        <v>0</v>
      </c>
      <c r="AA17" s="1362"/>
      <c r="AC17" s="1362"/>
    </row>
    <row r="18" spans="1:29">
      <c r="A18" s="1363" t="s">
        <v>382</v>
      </c>
      <c r="B18" s="1363"/>
      <c r="C18" s="1442"/>
      <c r="D18" s="1442"/>
      <c r="E18" s="1442"/>
      <c r="F18" s="1442"/>
      <c r="G18" s="1445"/>
      <c r="H18" s="1448"/>
      <c r="I18" s="1448"/>
      <c r="J18" s="1448"/>
      <c r="K18" s="1448"/>
      <c r="L18" s="1448"/>
      <c r="M18" s="1448"/>
      <c r="N18" s="1448"/>
      <c r="O18" s="1448"/>
      <c r="P18" s="1449"/>
      <c r="Q18" s="1448"/>
      <c r="R18" s="1450"/>
      <c r="S18" s="1448"/>
      <c r="T18" s="1449"/>
      <c r="U18" s="1364">
        <f t="shared" si="0"/>
        <v>0</v>
      </c>
      <c r="V18" s="1365"/>
      <c r="W18" s="1441">
        <v>0</v>
      </c>
      <c r="X18" s="1365"/>
      <c r="Y18" s="1430">
        <f t="shared" si="1"/>
        <v>0</v>
      </c>
      <c r="AA18" s="1362"/>
      <c r="AC18" s="1362"/>
    </row>
    <row r="19" spans="1:29">
      <c r="A19" s="1363" t="s">
        <v>382</v>
      </c>
      <c r="B19" s="1363"/>
      <c r="C19" s="1442"/>
      <c r="D19" s="1442"/>
      <c r="E19" s="1442"/>
      <c r="F19" s="1442"/>
      <c r="G19" s="1445"/>
      <c r="H19" s="1448"/>
      <c r="I19" s="1448"/>
      <c r="J19" s="1448"/>
      <c r="K19" s="1448"/>
      <c r="L19" s="1448"/>
      <c r="M19" s="1448"/>
      <c r="N19" s="1448"/>
      <c r="O19" s="1448"/>
      <c r="P19" s="1449"/>
      <c r="Q19" s="1448"/>
      <c r="R19" s="1450"/>
      <c r="S19" s="1448"/>
      <c r="T19" s="1449"/>
      <c r="U19" s="1364">
        <f t="shared" si="0"/>
        <v>0</v>
      </c>
      <c r="V19" s="1365"/>
      <c r="W19" s="1441">
        <v>0</v>
      </c>
      <c r="X19" s="1365"/>
      <c r="Y19" s="1430">
        <f t="shared" si="1"/>
        <v>0</v>
      </c>
      <c r="AA19" s="1362"/>
      <c r="AC19" s="1362"/>
    </row>
    <row r="20" spans="1:29">
      <c r="A20" s="1363" t="s">
        <v>382</v>
      </c>
      <c r="B20" s="1363"/>
      <c r="C20" s="1442"/>
      <c r="D20" s="1442"/>
      <c r="E20" s="1442"/>
      <c r="F20" s="1442"/>
      <c r="G20" s="1445"/>
      <c r="H20" s="1448"/>
      <c r="I20" s="1448"/>
      <c r="J20" s="1448"/>
      <c r="K20" s="1448"/>
      <c r="L20" s="1448"/>
      <c r="M20" s="1448"/>
      <c r="N20" s="1448"/>
      <c r="O20" s="1448"/>
      <c r="P20" s="1449"/>
      <c r="Q20" s="1448"/>
      <c r="R20" s="1450"/>
      <c r="S20" s="1448"/>
      <c r="T20" s="1449"/>
      <c r="U20" s="1364">
        <f t="shared" si="0"/>
        <v>0</v>
      </c>
      <c r="V20" s="1365"/>
      <c r="W20" s="1441">
        <v>0</v>
      </c>
      <c r="X20" s="1365"/>
      <c r="Y20" s="1430">
        <f t="shared" si="1"/>
        <v>0</v>
      </c>
      <c r="AA20" s="1362"/>
      <c r="AC20" s="1362"/>
    </row>
    <row r="21" spans="1:29">
      <c r="A21" s="1363" t="s">
        <v>382</v>
      </c>
      <c r="B21" s="1363"/>
      <c r="C21" s="1442"/>
      <c r="D21" s="1442"/>
      <c r="E21" s="1442"/>
      <c r="F21" s="1442"/>
      <c r="G21" s="1445"/>
      <c r="H21" s="1448"/>
      <c r="I21" s="1448"/>
      <c r="J21" s="1448"/>
      <c r="K21" s="1448"/>
      <c r="L21" s="1448"/>
      <c r="M21" s="1448"/>
      <c r="N21" s="1448"/>
      <c r="O21" s="1448"/>
      <c r="P21" s="1449"/>
      <c r="Q21" s="1448"/>
      <c r="R21" s="1450"/>
      <c r="S21" s="1448"/>
      <c r="T21" s="1449"/>
      <c r="U21" s="1364">
        <f t="shared" si="0"/>
        <v>0</v>
      </c>
      <c r="V21" s="1365"/>
      <c r="W21" s="1441">
        <v>0</v>
      </c>
      <c r="X21" s="1365"/>
      <c r="Y21" s="1430">
        <f t="shared" si="1"/>
        <v>0</v>
      </c>
      <c r="AA21" s="1362"/>
      <c r="AC21" s="1362"/>
    </row>
    <row r="22" spans="1:29">
      <c r="A22" s="1363" t="s">
        <v>382</v>
      </c>
      <c r="B22" s="1363"/>
      <c r="C22" s="1442"/>
      <c r="D22" s="1442"/>
      <c r="E22" s="1442"/>
      <c r="F22" s="1442"/>
      <c r="G22" s="1445"/>
      <c r="H22" s="1448"/>
      <c r="I22" s="1448"/>
      <c r="J22" s="1448"/>
      <c r="K22" s="1448"/>
      <c r="L22" s="1448"/>
      <c r="M22" s="1448"/>
      <c r="N22" s="1448"/>
      <c r="O22" s="1448"/>
      <c r="P22" s="1449"/>
      <c r="Q22" s="1448"/>
      <c r="R22" s="1450"/>
      <c r="S22" s="1448"/>
      <c r="T22" s="1449"/>
      <c r="U22" s="1364">
        <f t="shared" si="0"/>
        <v>0</v>
      </c>
      <c r="V22" s="1365"/>
      <c r="W22" s="1441">
        <v>0</v>
      </c>
      <c r="X22" s="1365"/>
      <c r="Y22" s="1430">
        <f t="shared" si="1"/>
        <v>0</v>
      </c>
      <c r="AA22" s="1362"/>
      <c r="AC22" s="1362"/>
    </row>
    <row r="23" spans="1:29">
      <c r="A23" s="1363" t="s">
        <v>382</v>
      </c>
      <c r="B23" s="1363"/>
      <c r="C23" s="1442"/>
      <c r="D23" s="1442"/>
      <c r="E23" s="1442"/>
      <c r="F23" s="1442"/>
      <c r="G23" s="1445"/>
      <c r="H23" s="1448"/>
      <c r="I23" s="1448"/>
      <c r="J23" s="1448"/>
      <c r="K23" s="1448"/>
      <c r="L23" s="1448"/>
      <c r="M23" s="1448"/>
      <c r="N23" s="1448"/>
      <c r="O23" s="1448"/>
      <c r="P23" s="1449"/>
      <c r="Q23" s="1448"/>
      <c r="R23" s="1450"/>
      <c r="S23" s="1448"/>
      <c r="T23" s="1449"/>
      <c r="U23" s="1364">
        <f t="shared" si="0"/>
        <v>0</v>
      </c>
      <c r="V23" s="1365"/>
      <c r="W23" s="1441">
        <v>0</v>
      </c>
      <c r="X23" s="1365"/>
      <c r="Y23" s="1430">
        <f t="shared" si="1"/>
        <v>0</v>
      </c>
      <c r="AA23" s="1362"/>
      <c r="AC23" s="1362"/>
    </row>
    <row r="24" spans="1:29">
      <c r="A24" s="1363" t="s">
        <v>382</v>
      </c>
      <c r="B24" s="1363"/>
      <c r="C24" s="1442"/>
      <c r="D24" s="1442"/>
      <c r="E24" s="1442"/>
      <c r="F24" s="1442"/>
      <c r="G24" s="1445"/>
      <c r="H24" s="1448"/>
      <c r="I24" s="1448"/>
      <c r="J24" s="1448"/>
      <c r="K24" s="1448"/>
      <c r="L24" s="1448"/>
      <c r="M24" s="1448"/>
      <c r="N24" s="1448"/>
      <c r="O24" s="1448"/>
      <c r="P24" s="1449"/>
      <c r="Q24" s="1448"/>
      <c r="R24" s="1450"/>
      <c r="S24" s="1448"/>
      <c r="T24" s="1449"/>
      <c r="U24" s="1364">
        <f t="shared" si="0"/>
        <v>0</v>
      </c>
      <c r="V24" s="1363"/>
      <c r="W24" s="1441">
        <v>0</v>
      </c>
      <c r="X24" s="1363"/>
      <c r="Y24" s="1430">
        <f t="shared" si="1"/>
        <v>0</v>
      </c>
      <c r="AA24" s="1362"/>
      <c r="AC24" s="1362"/>
    </row>
    <row r="25" spans="1:29">
      <c r="A25" s="1363" t="s">
        <v>382</v>
      </c>
      <c r="B25" s="1363"/>
      <c r="C25" s="1442"/>
      <c r="D25" s="1442"/>
      <c r="E25" s="1442"/>
      <c r="F25" s="1442"/>
      <c r="G25" s="1445"/>
      <c r="H25" s="1448"/>
      <c r="I25" s="1448"/>
      <c r="J25" s="1448"/>
      <c r="K25" s="1448"/>
      <c r="L25" s="1448"/>
      <c r="M25" s="1448"/>
      <c r="N25" s="1448"/>
      <c r="O25" s="1448"/>
      <c r="P25" s="1449"/>
      <c r="Q25" s="1448"/>
      <c r="R25" s="1450"/>
      <c r="S25" s="1448"/>
      <c r="T25" s="1449"/>
      <c r="U25" s="1364">
        <f t="shared" si="0"/>
        <v>0</v>
      </c>
      <c r="V25" s="1363"/>
      <c r="W25" s="1441">
        <v>0</v>
      </c>
      <c r="X25" s="1363"/>
      <c r="Y25" s="1430">
        <f t="shared" si="1"/>
        <v>0</v>
      </c>
      <c r="AA25" s="1362"/>
      <c r="AC25" s="1362"/>
    </row>
    <row r="26" spans="1:29">
      <c r="A26" s="1363" t="s">
        <v>382</v>
      </c>
      <c r="B26" s="1363"/>
      <c r="C26" s="1442"/>
      <c r="D26" s="1442"/>
      <c r="E26" s="1442"/>
      <c r="F26" s="1442"/>
      <c r="G26" s="1445"/>
      <c r="H26" s="1448"/>
      <c r="I26" s="1448"/>
      <c r="J26" s="1448"/>
      <c r="K26" s="1448"/>
      <c r="L26" s="1448"/>
      <c r="M26" s="1448"/>
      <c r="N26" s="1448"/>
      <c r="O26" s="1448"/>
      <c r="P26" s="1449"/>
      <c r="Q26" s="1448"/>
      <c r="R26" s="1450"/>
      <c r="S26" s="1448"/>
      <c r="T26" s="1449"/>
      <c r="U26" s="1364">
        <f t="shared" si="0"/>
        <v>0</v>
      </c>
      <c r="V26" s="1363"/>
      <c r="W26" s="1441">
        <v>0</v>
      </c>
      <c r="X26" s="1363"/>
      <c r="Y26" s="1430">
        <f t="shared" si="1"/>
        <v>0</v>
      </c>
      <c r="AA26" s="1362"/>
      <c r="AC26" s="1362"/>
    </row>
    <row r="27" spans="1:29">
      <c r="A27" s="1363" t="s">
        <v>382</v>
      </c>
      <c r="B27" s="1363"/>
      <c r="C27" s="1442"/>
      <c r="D27" s="1442"/>
      <c r="E27" s="1442"/>
      <c r="F27" s="1442"/>
      <c r="G27" s="1445"/>
      <c r="H27" s="1448"/>
      <c r="I27" s="1448"/>
      <c r="J27" s="1448"/>
      <c r="K27" s="1448"/>
      <c r="L27" s="1448"/>
      <c r="M27" s="1448"/>
      <c r="N27" s="1448"/>
      <c r="O27" s="1448"/>
      <c r="P27" s="1449"/>
      <c r="Q27" s="1448"/>
      <c r="R27" s="1450"/>
      <c r="S27" s="1448"/>
      <c r="T27" s="1449"/>
      <c r="U27" s="1364">
        <f t="shared" si="0"/>
        <v>0</v>
      </c>
      <c r="V27" s="1363"/>
      <c r="W27" s="1441">
        <v>0</v>
      </c>
      <c r="X27" s="1363"/>
      <c r="Y27" s="1430">
        <f t="shared" si="1"/>
        <v>0</v>
      </c>
      <c r="AA27" s="1362"/>
      <c r="AC27" s="1362"/>
    </row>
    <row r="28" spans="1:29">
      <c r="A28" s="1363" t="s">
        <v>382</v>
      </c>
      <c r="B28" s="1363"/>
      <c r="C28" s="1442"/>
      <c r="D28" s="1442"/>
      <c r="E28" s="1442"/>
      <c r="F28" s="1442"/>
      <c r="G28" s="1445"/>
      <c r="H28" s="1448"/>
      <c r="I28" s="1448"/>
      <c r="J28" s="1448"/>
      <c r="K28" s="1448"/>
      <c r="L28" s="1448"/>
      <c r="M28" s="1448"/>
      <c r="N28" s="1448"/>
      <c r="O28" s="1448"/>
      <c r="P28" s="1449"/>
      <c r="Q28" s="1448"/>
      <c r="R28" s="1450"/>
      <c r="S28" s="1448"/>
      <c r="T28" s="1449"/>
      <c r="U28" s="1364">
        <f t="shared" si="0"/>
        <v>0</v>
      </c>
      <c r="V28" s="1363"/>
      <c r="W28" s="1441">
        <v>0</v>
      </c>
      <c r="X28" s="1363"/>
      <c r="Y28" s="1430">
        <f t="shared" si="1"/>
        <v>0</v>
      </c>
      <c r="AA28" s="1362"/>
      <c r="AC28" s="1362"/>
    </row>
    <row r="29" spans="1:29">
      <c r="A29" s="1363" t="s">
        <v>382</v>
      </c>
      <c r="B29" s="1363"/>
      <c r="C29" s="1442"/>
      <c r="D29" s="1442"/>
      <c r="E29" s="1442"/>
      <c r="F29" s="1442"/>
      <c r="G29" s="1445"/>
      <c r="H29" s="1448"/>
      <c r="I29" s="1448"/>
      <c r="J29" s="1448"/>
      <c r="K29" s="1448"/>
      <c r="L29" s="1448"/>
      <c r="M29" s="1448"/>
      <c r="N29" s="1448"/>
      <c r="O29" s="1448"/>
      <c r="P29" s="1449"/>
      <c r="Q29" s="1448"/>
      <c r="R29" s="1450"/>
      <c r="S29" s="1448"/>
      <c r="T29" s="1449"/>
      <c r="U29" s="1364">
        <f t="shared" si="0"/>
        <v>0</v>
      </c>
      <c r="V29" s="1363"/>
      <c r="W29" s="1441">
        <v>0</v>
      </c>
      <c r="X29" s="1363"/>
      <c r="Y29" s="1430">
        <f t="shared" si="1"/>
        <v>0</v>
      </c>
      <c r="AA29" s="1362"/>
      <c r="AC29" s="1362"/>
    </row>
    <row r="30" spans="1:29">
      <c r="A30" s="1363" t="s">
        <v>382</v>
      </c>
      <c r="B30" s="1363"/>
      <c r="C30" s="1442"/>
      <c r="D30" s="1442"/>
      <c r="E30" s="1442"/>
      <c r="F30" s="1442"/>
      <c r="G30" s="1445"/>
      <c r="H30" s="1448"/>
      <c r="I30" s="1448"/>
      <c r="J30" s="1448"/>
      <c r="K30" s="1448"/>
      <c r="L30" s="1448"/>
      <c r="M30" s="1448"/>
      <c r="N30" s="1448"/>
      <c r="O30" s="1448"/>
      <c r="P30" s="1449"/>
      <c r="Q30" s="1448"/>
      <c r="R30" s="1450"/>
      <c r="S30" s="1448"/>
      <c r="T30" s="1449"/>
      <c r="U30" s="1364">
        <f t="shared" si="0"/>
        <v>0</v>
      </c>
      <c r="V30" s="1363"/>
      <c r="W30" s="1441">
        <v>0</v>
      </c>
      <c r="X30" s="1363"/>
      <c r="Y30" s="1430">
        <f t="shared" si="1"/>
        <v>0</v>
      </c>
      <c r="AA30" s="1362"/>
      <c r="AC30" s="1362"/>
    </row>
    <row r="31" spans="1:29">
      <c r="A31" s="1363" t="s">
        <v>316</v>
      </c>
      <c r="B31" s="1363"/>
      <c r="C31" s="1442"/>
      <c r="D31" s="1442"/>
      <c r="E31" s="1442"/>
      <c r="F31" s="1442"/>
      <c r="G31" s="1445"/>
      <c r="H31" s="1448"/>
      <c r="I31" s="1448"/>
      <c r="J31" s="1448"/>
      <c r="K31" s="1448"/>
      <c r="L31" s="1448"/>
      <c r="M31" s="1448"/>
      <c r="N31" s="1448"/>
      <c r="O31" s="1448"/>
      <c r="P31" s="1449"/>
      <c r="Q31" s="1448"/>
      <c r="R31" s="1450"/>
      <c r="S31" s="1448"/>
      <c r="T31" s="1449"/>
      <c r="U31" s="1364">
        <f t="shared" si="0"/>
        <v>0</v>
      </c>
      <c r="V31" s="1363"/>
      <c r="W31" s="1441">
        <v>0</v>
      </c>
      <c r="X31" s="1363"/>
      <c r="Y31" s="1431">
        <f t="shared" si="1"/>
        <v>0</v>
      </c>
      <c r="AA31" s="1362"/>
      <c r="AC31" s="1362"/>
    </row>
    <row r="32" spans="1:29" s="1388" customFormat="1">
      <c r="A32" s="1391">
        <v>2</v>
      </c>
      <c r="B32" s="1391"/>
      <c r="Q32" s="1391"/>
      <c r="R32" s="1391"/>
      <c r="S32" s="1372"/>
      <c r="T32" s="1372"/>
      <c r="U32" s="1627" t="s">
        <v>1010</v>
      </c>
      <c r="V32" s="1627"/>
      <c r="W32" s="1627"/>
      <c r="X32" s="1432"/>
      <c r="Y32" s="1433">
        <f>SUM(Y7:Y31)</f>
        <v>0</v>
      </c>
    </row>
    <row r="33" spans="1:29">
      <c r="V33" s="1625"/>
      <c r="W33" s="1625"/>
      <c r="X33" s="1625"/>
    </row>
    <row r="34" spans="1:29">
      <c r="H34" s="1388" t="s">
        <v>1011</v>
      </c>
      <c r="I34" s="1388"/>
      <c r="J34" s="1388"/>
      <c r="K34" s="1388"/>
      <c r="L34" s="1388"/>
      <c r="M34" s="1388"/>
      <c r="N34" s="1388"/>
      <c r="V34" s="1362" t="s">
        <v>879</v>
      </c>
      <c r="W34" s="1362"/>
      <c r="X34" s="1362"/>
      <c r="Y34" s="1362"/>
      <c r="AA34" s="1362"/>
      <c r="AC34" s="1362"/>
    </row>
    <row r="35" spans="1:29" ht="11.25" customHeight="1">
      <c r="A35" s="1392"/>
      <c r="B35" s="1396"/>
      <c r="C35" s="1617"/>
      <c r="D35" s="1617"/>
      <c r="E35" s="1617"/>
      <c r="F35" s="1617"/>
      <c r="G35" s="1617"/>
      <c r="O35" s="1434"/>
      <c r="P35" s="1434"/>
      <c r="Q35" s="1434"/>
      <c r="R35" s="1434"/>
      <c r="S35" s="1434"/>
      <c r="T35" s="1434"/>
      <c r="U35" s="1435" t="s">
        <v>11</v>
      </c>
      <c r="V35" s="1362" t="s">
        <v>1012</v>
      </c>
      <c r="W35" s="1362"/>
      <c r="X35" s="1362"/>
      <c r="Y35" s="1362"/>
      <c r="AA35" s="1362"/>
      <c r="AC35" s="1362"/>
    </row>
    <row r="36" spans="1:29" ht="11.25" customHeight="1">
      <c r="A36" s="1392"/>
      <c r="B36" s="1392"/>
      <c r="C36" s="1617"/>
      <c r="D36" s="1617"/>
      <c r="E36" s="1617"/>
      <c r="F36" s="1617"/>
      <c r="G36" s="1617"/>
      <c r="H36" s="1393"/>
      <c r="I36" s="1393"/>
      <c r="J36" s="1434"/>
      <c r="K36" s="1434"/>
      <c r="L36" s="1434"/>
      <c r="M36" s="1434"/>
      <c r="N36" s="1434"/>
      <c r="O36" s="1397"/>
      <c r="P36" s="1397"/>
      <c r="Q36" s="1397"/>
      <c r="R36" s="1397"/>
      <c r="S36" s="1397"/>
      <c r="T36" s="1397"/>
      <c r="V36" s="1362"/>
      <c r="W36" s="1362"/>
      <c r="X36" s="1362"/>
      <c r="Y36" s="1362"/>
      <c r="AA36" s="1362"/>
      <c r="AC36" s="1362"/>
    </row>
    <row r="37" spans="1:29" ht="11.25" customHeight="1">
      <c r="A37" s="1392"/>
      <c r="B37" s="1392"/>
      <c r="C37" s="1617"/>
      <c r="D37" s="1617"/>
      <c r="E37" s="1617"/>
      <c r="F37" s="1617"/>
      <c r="G37" s="1617"/>
      <c r="H37" s="1393"/>
      <c r="I37" s="1393"/>
      <c r="J37" s="1397"/>
      <c r="K37" s="1397"/>
      <c r="L37" s="1397"/>
      <c r="M37" s="1397"/>
      <c r="N37" s="1397"/>
      <c r="O37" s="1395"/>
      <c r="P37" s="1395"/>
      <c r="Q37" s="1395"/>
      <c r="R37" s="1395"/>
      <c r="S37" s="1395"/>
      <c r="T37" s="1395"/>
      <c r="V37" s="1362"/>
      <c r="W37" s="1362"/>
      <c r="X37" s="1362"/>
      <c r="Y37" s="1362"/>
      <c r="AA37" s="1362"/>
      <c r="AC37" s="1362"/>
    </row>
    <row r="38" spans="1:29">
      <c r="A38" s="1392"/>
      <c r="B38" s="1392"/>
      <c r="H38" s="1395"/>
      <c r="I38" s="1395"/>
      <c r="J38" s="1395"/>
      <c r="K38" s="1395"/>
      <c r="L38" s="1395"/>
      <c r="M38" s="1395"/>
      <c r="N38" s="1395"/>
      <c r="V38" s="1362"/>
      <c r="W38" s="1362"/>
      <c r="X38" s="1362"/>
      <c r="Y38" s="1362"/>
      <c r="AA38" s="1362"/>
      <c r="AC38" s="1362"/>
    </row>
    <row r="39" spans="1:29">
      <c r="A39" s="1392"/>
      <c r="B39" s="1392"/>
      <c r="V39" s="1391"/>
      <c r="W39" s="1362"/>
      <c r="X39" s="1362"/>
    </row>
    <row r="40" spans="1:29">
      <c r="A40" s="1392"/>
      <c r="B40" s="1392"/>
      <c r="V40" s="1362"/>
    </row>
    <row r="41" spans="1:29">
      <c r="A41" s="1392"/>
      <c r="B41" s="1392"/>
      <c r="S41" s="1388"/>
      <c r="T41" s="1388"/>
      <c r="U41" s="1389"/>
      <c r="V41" s="1362"/>
    </row>
    <row r="42" spans="1:29">
      <c r="A42" s="1392"/>
      <c r="B42" s="1392"/>
      <c r="S42" s="1388"/>
      <c r="T42" s="1388"/>
      <c r="U42" s="1389"/>
      <c r="V42" s="1362"/>
    </row>
    <row r="43" spans="1:29">
      <c r="A43" s="1392"/>
      <c r="B43" s="1392"/>
      <c r="S43" s="1388"/>
      <c r="T43" s="1388"/>
      <c r="U43" s="1389"/>
      <c r="V43" s="1362"/>
    </row>
    <row r="44" spans="1:29">
      <c r="A44" s="1392"/>
      <c r="B44" s="1392"/>
      <c r="S44" s="1388"/>
      <c r="T44" s="1388"/>
      <c r="U44" s="1389"/>
    </row>
    <row r="45" spans="1:29">
      <c r="A45" s="1392"/>
      <c r="B45" s="1392"/>
      <c r="S45" s="1388"/>
      <c r="T45" s="1388"/>
      <c r="U45" s="1389"/>
    </row>
    <row r="46" spans="1:29">
      <c r="A46" s="1392"/>
      <c r="B46" s="1392"/>
    </row>
  </sheetData>
  <mergeCells count="14">
    <mergeCell ref="Y5:Y6"/>
    <mergeCell ref="U32:W32"/>
    <mergeCell ref="A5:A6"/>
    <mergeCell ref="C5:C6"/>
    <mergeCell ref="D5:D6"/>
    <mergeCell ref="E5:E6"/>
    <mergeCell ref="F5:F6"/>
    <mergeCell ref="G5:G6"/>
    <mergeCell ref="V33:X33"/>
    <mergeCell ref="C35:G37"/>
    <mergeCell ref="U5:U6"/>
    <mergeCell ref="V5:V6"/>
    <mergeCell ref="W5:W6"/>
    <mergeCell ref="X5:X6"/>
  </mergeCells>
  <pageMargins left="0.7" right="0.7" top="0.75" bottom="0.75" header="0.3" footer="0.3"/>
  <pageSetup paperSize="5" scale="52" orientation="landscape" r:id="rId1"/>
  <headerFooter>
    <oddHeader xml:space="preserve">&amp;C&amp;"Arial,Bold"Attachment 13 - Construction Work in Progress
MidAmerican Central California Transco, LLC
</oddHeader>
    <oddFooter>&amp;RPage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R29"/>
  <sheetViews>
    <sheetView view="pageBreakPreview" zoomScale="60" zoomScaleNormal="100" workbookViewId="0"/>
  </sheetViews>
  <sheetFormatPr defaultColWidth="7" defaultRowHeight="11.25"/>
  <cols>
    <col min="1" max="1" width="3.77734375" style="1382" customWidth="1"/>
    <col min="2" max="2" width="9.44140625" style="1409" customWidth="1"/>
    <col min="3" max="3" width="25" style="1409" customWidth="1"/>
    <col min="4" max="4" width="34" style="1409" customWidth="1"/>
    <col min="5" max="5" width="8.44140625" style="1388" customWidth="1"/>
    <col min="6" max="6" width="7.5546875" style="1409" customWidth="1"/>
    <col min="7" max="7" width="7.77734375" style="1388" customWidth="1"/>
    <col min="8" max="18" width="7.5546875" style="1388" customWidth="1"/>
    <col min="19" max="16384" width="7" style="1362"/>
  </cols>
  <sheetData>
    <row r="1" spans="1:18" s="1242" customFormat="1" ht="15">
      <c r="A1" s="1242" t="s">
        <v>1072</v>
      </c>
      <c r="F1" s="1242" t="s">
        <v>1072</v>
      </c>
    </row>
    <row r="2" spans="1:18" s="1242" customFormat="1" ht="15.75">
      <c r="A2" s="1242" t="s">
        <v>1068</v>
      </c>
      <c r="F2" s="1242" t="s">
        <v>1068</v>
      </c>
    </row>
    <row r="4" spans="1:18" s="1348" customFormat="1">
      <c r="B4" s="1398" t="s">
        <v>461</v>
      </c>
      <c r="C4" s="1349" t="s">
        <v>593</v>
      </c>
      <c r="D4" s="1350" t="s">
        <v>840</v>
      </c>
      <c r="E4" s="1350" t="s">
        <v>591</v>
      </c>
      <c r="F4" s="1350" t="s">
        <v>841</v>
      </c>
      <c r="G4" s="1350" t="s">
        <v>589</v>
      </c>
      <c r="H4" s="1350" t="s">
        <v>588</v>
      </c>
      <c r="I4" s="1350" t="s">
        <v>587</v>
      </c>
      <c r="J4" s="1350" t="s">
        <v>849</v>
      </c>
      <c r="K4" s="1350" t="s">
        <v>850</v>
      </c>
      <c r="L4" s="1350" t="s">
        <v>851</v>
      </c>
      <c r="M4" s="1350" t="s">
        <v>852</v>
      </c>
      <c r="N4" s="1350" t="s">
        <v>853</v>
      </c>
      <c r="O4" s="1350" t="s">
        <v>854</v>
      </c>
      <c r="P4" s="1350" t="s">
        <v>855</v>
      </c>
      <c r="Q4" s="1349" t="s">
        <v>856</v>
      </c>
      <c r="R4" s="1348" t="s">
        <v>857</v>
      </c>
    </row>
    <row r="5" spans="1:18" s="1355" customFormat="1" ht="33.75" customHeight="1">
      <c r="A5" s="1618" t="s">
        <v>17</v>
      </c>
      <c r="B5" s="1618" t="s">
        <v>1013</v>
      </c>
      <c r="C5" s="1623" t="s">
        <v>1014</v>
      </c>
      <c r="D5" s="1623" t="s">
        <v>1017</v>
      </c>
      <c r="E5" s="1618" t="s">
        <v>1015</v>
      </c>
      <c r="F5" s="1399" t="s">
        <v>865</v>
      </c>
      <c r="G5" s="1354" t="s">
        <v>866</v>
      </c>
      <c r="H5" s="1354" t="s">
        <v>867</v>
      </c>
      <c r="I5" s="1354" t="s">
        <v>868</v>
      </c>
      <c r="J5" s="1354" t="s">
        <v>869</v>
      </c>
      <c r="K5" s="1354" t="s">
        <v>870</v>
      </c>
      <c r="L5" s="1354" t="s">
        <v>869</v>
      </c>
      <c r="M5" s="1354" t="s">
        <v>871</v>
      </c>
      <c r="N5" s="1354" t="s">
        <v>872</v>
      </c>
      <c r="O5" s="1354" t="s">
        <v>873</v>
      </c>
      <c r="P5" s="1354" t="s">
        <v>874</v>
      </c>
      <c r="Q5" s="1354" t="s">
        <v>875</v>
      </c>
      <c r="R5" s="1354" t="s">
        <v>865</v>
      </c>
    </row>
    <row r="6" spans="1:18" s="1355" customFormat="1">
      <c r="A6" s="1618"/>
      <c r="B6" s="1618"/>
      <c r="C6" s="1624"/>
      <c r="D6" s="1624"/>
      <c r="E6" s="1618"/>
      <c r="F6" s="1453" t="s">
        <v>1079</v>
      </c>
      <c r="G6" s="1454" t="s">
        <v>1097</v>
      </c>
      <c r="H6" s="1454" t="s">
        <v>1097</v>
      </c>
      <c r="I6" s="1454" t="s">
        <v>1097</v>
      </c>
      <c r="J6" s="1454" t="s">
        <v>1097</v>
      </c>
      <c r="K6" s="1454" t="s">
        <v>1097</v>
      </c>
      <c r="L6" s="1454" t="s">
        <v>1097</v>
      </c>
      <c r="M6" s="1454" t="s">
        <v>1097</v>
      </c>
      <c r="N6" s="1454" t="s">
        <v>1097</v>
      </c>
      <c r="O6" s="1454" t="s">
        <v>1097</v>
      </c>
      <c r="P6" s="1454" t="s">
        <v>1097</v>
      </c>
      <c r="Q6" s="1454" t="s">
        <v>1097</v>
      </c>
      <c r="R6" s="1454" t="s">
        <v>1097</v>
      </c>
    </row>
    <row r="7" spans="1:18" ht="28.9" customHeight="1">
      <c r="A7" s="1382" t="s">
        <v>313</v>
      </c>
      <c r="B7" s="1456"/>
      <c r="C7" s="1446"/>
      <c r="D7" s="1446"/>
      <c r="E7" s="1403">
        <f t="shared" ref="E7:E16" si="0">IFERROR(SUM(F7:R7)/13,0)</f>
        <v>0</v>
      </c>
      <c r="F7" s="1446"/>
      <c r="G7" s="1446"/>
      <c r="H7" s="1446"/>
      <c r="I7" s="1446"/>
      <c r="J7" s="1446"/>
      <c r="K7" s="1446"/>
      <c r="L7" s="1446"/>
      <c r="M7" s="1446"/>
      <c r="N7" s="1446"/>
      <c r="O7" s="1446"/>
      <c r="P7" s="1446"/>
      <c r="Q7" s="1446"/>
      <c r="R7" s="1446"/>
    </row>
    <row r="8" spans="1:18" ht="28.9" customHeight="1">
      <c r="A8" s="1382" t="s">
        <v>880</v>
      </c>
      <c r="B8" s="1457"/>
      <c r="C8" s="1448"/>
      <c r="D8" s="1448"/>
      <c r="E8" s="1364">
        <f t="shared" si="0"/>
        <v>0</v>
      </c>
      <c r="F8" s="1448"/>
      <c r="G8" s="1448"/>
      <c r="H8" s="1448"/>
      <c r="I8" s="1448"/>
      <c r="J8" s="1448"/>
      <c r="K8" s="1448"/>
      <c r="L8" s="1448"/>
      <c r="M8" s="1448"/>
      <c r="N8" s="1448"/>
      <c r="O8" s="1448"/>
      <c r="P8" s="1448"/>
      <c r="Q8" s="1448"/>
      <c r="R8" s="1448"/>
    </row>
    <row r="9" spans="1:18" ht="28.9" customHeight="1">
      <c r="A9" s="1382" t="s">
        <v>881</v>
      </c>
      <c r="B9" s="1457"/>
      <c r="C9" s="1448"/>
      <c r="D9" s="1448"/>
      <c r="E9" s="1364">
        <f t="shared" si="0"/>
        <v>0</v>
      </c>
      <c r="F9" s="1448"/>
      <c r="G9" s="1448"/>
      <c r="H9" s="1448"/>
      <c r="I9" s="1448"/>
      <c r="J9" s="1448"/>
      <c r="K9" s="1448"/>
      <c r="L9" s="1448"/>
      <c r="M9" s="1448"/>
      <c r="N9" s="1448"/>
      <c r="O9" s="1448"/>
      <c r="P9" s="1448"/>
      <c r="Q9" s="1448"/>
      <c r="R9" s="1448"/>
    </row>
    <row r="10" spans="1:18" ht="28.9" customHeight="1">
      <c r="A10" s="1382" t="s">
        <v>382</v>
      </c>
      <c r="B10" s="1457"/>
      <c r="C10" s="1448"/>
      <c r="D10" s="1448"/>
      <c r="E10" s="1364">
        <f t="shared" si="0"/>
        <v>0</v>
      </c>
      <c r="F10" s="1448"/>
      <c r="G10" s="1448"/>
      <c r="H10" s="1448"/>
      <c r="I10" s="1448"/>
      <c r="J10" s="1448"/>
      <c r="K10" s="1448"/>
      <c r="L10" s="1448"/>
      <c r="M10" s="1448"/>
      <c r="N10" s="1448"/>
      <c r="O10" s="1448"/>
      <c r="P10" s="1448"/>
      <c r="Q10" s="1448"/>
      <c r="R10" s="1448"/>
    </row>
    <row r="11" spans="1:18" ht="28.9" customHeight="1">
      <c r="A11" s="1382" t="s">
        <v>382</v>
      </c>
      <c r="B11" s="1457"/>
      <c r="C11" s="1448"/>
      <c r="D11" s="1448"/>
      <c r="E11" s="1364">
        <f t="shared" si="0"/>
        <v>0</v>
      </c>
      <c r="F11" s="1448"/>
      <c r="G11" s="1448"/>
      <c r="H11" s="1448"/>
      <c r="I11" s="1448"/>
      <c r="J11" s="1448"/>
      <c r="K11" s="1448"/>
      <c r="L11" s="1448"/>
      <c r="M11" s="1448"/>
      <c r="N11" s="1448"/>
      <c r="O11" s="1448"/>
      <c r="P11" s="1448"/>
      <c r="Q11" s="1448"/>
      <c r="R11" s="1448"/>
    </row>
    <row r="12" spans="1:18" ht="28.9" customHeight="1">
      <c r="A12" s="1382" t="s">
        <v>382</v>
      </c>
      <c r="B12" s="1457"/>
      <c r="C12" s="1448"/>
      <c r="D12" s="1448"/>
      <c r="E12" s="1364">
        <f t="shared" si="0"/>
        <v>0</v>
      </c>
      <c r="F12" s="1448"/>
      <c r="G12" s="1448"/>
      <c r="H12" s="1448"/>
      <c r="I12" s="1448"/>
      <c r="J12" s="1448"/>
      <c r="K12" s="1448"/>
      <c r="L12" s="1448"/>
      <c r="M12" s="1448"/>
      <c r="N12" s="1448"/>
      <c r="O12" s="1448"/>
      <c r="P12" s="1448"/>
      <c r="Q12" s="1448"/>
      <c r="R12" s="1448"/>
    </row>
    <row r="13" spans="1:18" ht="28.9" customHeight="1">
      <c r="A13" s="1382" t="s">
        <v>382</v>
      </c>
      <c r="B13" s="1457"/>
      <c r="C13" s="1448"/>
      <c r="D13" s="1448"/>
      <c r="E13" s="1364">
        <f t="shared" si="0"/>
        <v>0</v>
      </c>
      <c r="F13" s="1448"/>
      <c r="G13" s="1448"/>
      <c r="H13" s="1448"/>
      <c r="I13" s="1448"/>
      <c r="J13" s="1448"/>
      <c r="K13" s="1448"/>
      <c r="L13" s="1448"/>
      <c r="M13" s="1448"/>
      <c r="N13" s="1448"/>
      <c r="O13" s="1448"/>
      <c r="P13" s="1448"/>
      <c r="Q13" s="1448"/>
      <c r="R13" s="1448"/>
    </row>
    <row r="14" spans="1:18" ht="28.9" customHeight="1">
      <c r="A14" s="1382" t="s">
        <v>382</v>
      </c>
      <c r="B14" s="1457"/>
      <c r="C14" s="1448"/>
      <c r="D14" s="1448"/>
      <c r="E14" s="1364">
        <f t="shared" si="0"/>
        <v>0</v>
      </c>
      <c r="F14" s="1448"/>
      <c r="G14" s="1448"/>
      <c r="H14" s="1448"/>
      <c r="I14" s="1448"/>
      <c r="J14" s="1448"/>
      <c r="K14" s="1448"/>
      <c r="L14" s="1448"/>
      <c r="M14" s="1448"/>
      <c r="N14" s="1448"/>
      <c r="O14" s="1448"/>
      <c r="P14" s="1448"/>
      <c r="Q14" s="1448"/>
      <c r="R14" s="1448"/>
    </row>
    <row r="15" spans="1:18" ht="28.9" customHeight="1">
      <c r="A15" s="1382" t="s">
        <v>382</v>
      </c>
      <c r="B15" s="1457"/>
      <c r="C15" s="1448"/>
      <c r="D15" s="1448"/>
      <c r="E15" s="1364">
        <f t="shared" si="0"/>
        <v>0</v>
      </c>
      <c r="F15" s="1448"/>
      <c r="G15" s="1448"/>
      <c r="H15" s="1448"/>
      <c r="I15" s="1448"/>
      <c r="J15" s="1448"/>
      <c r="K15" s="1448"/>
      <c r="L15" s="1448"/>
      <c r="M15" s="1448"/>
      <c r="N15" s="1448"/>
      <c r="O15" s="1448"/>
      <c r="P15" s="1448"/>
      <c r="Q15" s="1448"/>
      <c r="R15" s="1448"/>
    </row>
    <row r="16" spans="1:18" ht="28.9" customHeight="1">
      <c r="A16" s="1382" t="s">
        <v>316</v>
      </c>
      <c r="B16" s="1457"/>
      <c r="C16" s="1448"/>
      <c r="D16" s="1448"/>
      <c r="E16" s="1373">
        <f t="shared" si="0"/>
        <v>0</v>
      </c>
      <c r="F16" s="1448"/>
      <c r="G16" s="1448"/>
      <c r="H16" s="1448"/>
      <c r="I16" s="1448"/>
      <c r="J16" s="1448"/>
      <c r="K16" s="1448"/>
      <c r="L16" s="1448"/>
      <c r="M16" s="1448"/>
      <c r="N16" s="1448"/>
      <c r="O16" s="1455"/>
      <c r="P16" s="1455"/>
      <c r="Q16" s="1455"/>
      <c r="R16" s="1455"/>
    </row>
    <row r="17" spans="1:18">
      <c r="A17" s="1382">
        <v>2</v>
      </c>
      <c r="C17" s="1437"/>
      <c r="D17" s="1437" t="s">
        <v>1016</v>
      </c>
      <c r="E17" s="1438">
        <f>SUM(E7:E16)</f>
        <v>0</v>
      </c>
      <c r="F17" s="1410"/>
      <c r="G17" s="1410"/>
      <c r="H17" s="1410"/>
      <c r="I17" s="1410"/>
      <c r="J17" s="1410"/>
      <c r="K17" s="1410"/>
      <c r="L17" s="1410"/>
      <c r="M17" s="1410"/>
      <c r="N17" s="1362"/>
      <c r="O17" s="1362"/>
      <c r="P17" s="1362"/>
      <c r="Q17" s="1362"/>
      <c r="R17" s="1362"/>
    </row>
    <row r="18" spans="1:18" ht="11.25" customHeight="1">
      <c r="E18" s="1410"/>
      <c r="F18" s="1628" t="s">
        <v>1011</v>
      </c>
      <c r="G18" s="1628"/>
      <c r="H18" s="1628"/>
      <c r="I18" s="1628"/>
      <c r="J18" s="1628"/>
      <c r="K18" s="1628"/>
      <c r="L18" s="1410"/>
      <c r="M18" s="1410"/>
      <c r="N18" s="1410"/>
      <c r="O18" s="1410"/>
      <c r="P18" s="1410"/>
      <c r="Q18" s="1410"/>
      <c r="R18" s="1410"/>
    </row>
    <row r="19" spans="1:18">
      <c r="B19" s="1396"/>
      <c r="C19" s="1416"/>
      <c r="D19" s="1416"/>
      <c r="F19" s="1416"/>
      <c r="G19" s="1416"/>
    </row>
    <row r="20" spans="1:18">
      <c r="A20" s="1362"/>
      <c r="C20" s="1416"/>
      <c r="D20" s="1416"/>
      <c r="E20" s="1362"/>
      <c r="F20" s="1416"/>
      <c r="G20" s="1416"/>
      <c r="R20" s="1362"/>
    </row>
    <row r="21" spans="1:18" ht="12" customHeight="1">
      <c r="A21" s="1362"/>
      <c r="B21" s="1392"/>
      <c r="C21" s="1416"/>
      <c r="D21" s="1416"/>
      <c r="E21" s="1362"/>
      <c r="F21" s="1416"/>
      <c r="M21" s="1413"/>
      <c r="R21" s="1362"/>
    </row>
    <row r="22" spans="1:18" ht="12" customHeight="1">
      <c r="A22" s="1362"/>
      <c r="B22" s="1392"/>
      <c r="C22" s="1416"/>
      <c r="D22" s="1416"/>
      <c r="E22" s="1362"/>
      <c r="F22" s="1416"/>
      <c r="R22" s="1362"/>
    </row>
    <row r="23" spans="1:18" ht="11.25" customHeight="1">
      <c r="A23" s="1396"/>
      <c r="B23" s="1392"/>
      <c r="C23" s="1416"/>
      <c r="D23" s="1416"/>
      <c r="E23" s="1362"/>
      <c r="F23" s="1416"/>
      <c r="M23" s="1439"/>
      <c r="R23" s="1362"/>
    </row>
    <row r="24" spans="1:18" ht="11.25" customHeight="1">
      <c r="A24" s="1396"/>
      <c r="B24" s="1396"/>
      <c r="C24" s="1620"/>
      <c r="D24" s="1620"/>
      <c r="E24" s="1362"/>
      <c r="M24" s="1414"/>
      <c r="R24" s="1362"/>
    </row>
    <row r="25" spans="1:18" ht="11.25" customHeight="1">
      <c r="A25" s="1392"/>
      <c r="B25" s="1396"/>
      <c r="E25" s="1362"/>
      <c r="M25" s="1414"/>
      <c r="R25" s="1362"/>
    </row>
    <row r="26" spans="1:18">
      <c r="A26" s="1392"/>
      <c r="E26" s="1362"/>
      <c r="R26" s="1362"/>
    </row>
    <row r="27" spans="1:18">
      <c r="A27" s="1392"/>
      <c r="E27" s="1362"/>
      <c r="R27" s="1362"/>
    </row>
    <row r="28" spans="1:18">
      <c r="A28" s="1392"/>
      <c r="E28" s="1362"/>
      <c r="R28" s="1362"/>
    </row>
    <row r="29" spans="1:18">
      <c r="A29" s="1392"/>
    </row>
  </sheetData>
  <mergeCells count="7">
    <mergeCell ref="E5:E6"/>
    <mergeCell ref="F18:K18"/>
    <mergeCell ref="C24:D24"/>
    <mergeCell ref="A5:A6"/>
    <mergeCell ref="B5:B6"/>
    <mergeCell ref="C5:C6"/>
    <mergeCell ref="D5:D6"/>
  </mergeCells>
  <pageMargins left="0.7" right="0.7" top="0.75" bottom="0.75" header="0.3" footer="0.3"/>
  <pageSetup scale="56" orientation="landscape" r:id="rId1"/>
  <headerFooter>
    <oddHeader xml:space="preserve">&amp;C&amp;"Arial,Bold"Attachment 14 - Land Held for Future Use
MidAmerican Central California Transco, LLC
</oddHeader>
    <oddFooter>&amp;RPage &amp;P of &amp;N</oddFooter>
  </headerFooter>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Q67"/>
  <sheetViews>
    <sheetView view="pageBreakPreview" zoomScale="60" zoomScaleNormal="100" workbookViewId="0">
      <selection sqref="A1:F1"/>
    </sheetView>
  </sheetViews>
  <sheetFormatPr defaultColWidth="8.77734375" defaultRowHeight="12.75"/>
  <cols>
    <col min="1" max="1" width="8.77734375" style="1267"/>
    <col min="2" max="2" width="50" style="1266" customWidth="1"/>
    <col min="3" max="3" width="15.77734375" style="1266" customWidth="1"/>
    <col min="4" max="4" width="13.77734375" style="1266" customWidth="1"/>
    <col min="5" max="5" width="7.77734375" style="1266" customWidth="1"/>
    <col min="6" max="6" width="8.44140625" style="1266" customWidth="1"/>
    <col min="7" max="7" width="10" style="1266" bestFit="1" customWidth="1"/>
    <col min="8" max="8" width="10.33203125" style="1266" customWidth="1"/>
    <col min="9" max="10" width="8.77734375" style="1266"/>
    <col min="11" max="11" width="10.44140625" style="1266" bestFit="1" customWidth="1"/>
    <col min="12" max="12" width="39.44140625" style="1266" bestFit="1" customWidth="1"/>
    <col min="13" max="16384" width="8.77734375" style="1266"/>
  </cols>
  <sheetData>
    <row r="1" spans="1:17" ht="15">
      <c r="A1" s="1629" t="s">
        <v>828</v>
      </c>
      <c r="B1" s="1630"/>
      <c r="C1" s="1630"/>
      <c r="D1" s="1630"/>
      <c r="E1" s="1630"/>
      <c r="F1" s="1630"/>
      <c r="G1" s="1065"/>
      <c r="J1" s="1065"/>
      <c r="K1" s="1065"/>
      <c r="L1" s="1065"/>
      <c r="M1" s="1065"/>
      <c r="N1" s="1065"/>
      <c r="O1" s="1065"/>
      <c r="P1" s="1065"/>
      <c r="Q1" s="1065"/>
    </row>
    <row r="2" spans="1:17" ht="15.75">
      <c r="A2" s="1630" t="s">
        <v>491</v>
      </c>
      <c r="B2" s="1630"/>
      <c r="C2" s="1630"/>
      <c r="D2" s="1630"/>
      <c r="E2" s="1630"/>
      <c r="F2" s="1630"/>
      <c r="G2" s="1065"/>
      <c r="H2" s="1496" t="s">
        <v>1080</v>
      </c>
      <c r="I2" s="1272"/>
      <c r="J2" s="1065"/>
      <c r="K2" s="1065"/>
      <c r="L2" s="1065"/>
      <c r="M2" s="1065"/>
      <c r="N2" s="1065"/>
      <c r="O2" s="1065"/>
      <c r="P2" s="1065"/>
      <c r="Q2" s="1065"/>
    </row>
    <row r="3" spans="1:17" ht="15">
      <c r="H3" s="1481">
        <v>44195</v>
      </c>
      <c r="I3" s="1288"/>
    </row>
    <row r="4" spans="1:17">
      <c r="A4" s="1287"/>
      <c r="B4" s="1274"/>
      <c r="C4" s="1274"/>
      <c r="D4" s="1274"/>
      <c r="E4" s="1274"/>
      <c r="F4" s="1274"/>
      <c r="G4" s="1274"/>
      <c r="H4" s="1274"/>
      <c r="I4" s="1274"/>
      <c r="J4" s="1274"/>
    </row>
    <row r="5" spans="1:17">
      <c r="A5" s="1314" t="s">
        <v>660</v>
      </c>
      <c r="B5" s="1283"/>
      <c r="C5" s="1283"/>
      <c r="D5" s="1270"/>
      <c r="E5" s="1270"/>
      <c r="F5" s="1270"/>
      <c r="G5" s="1274"/>
      <c r="H5" s="1274"/>
      <c r="I5" s="1274"/>
      <c r="J5" s="1274"/>
    </row>
    <row r="6" spans="1:17" ht="16.5">
      <c r="A6" s="1286"/>
      <c r="B6" s="1283"/>
      <c r="C6" s="1270"/>
      <c r="D6" s="1270"/>
      <c r="E6" s="1270"/>
      <c r="F6" s="1270"/>
      <c r="G6" s="1274"/>
      <c r="H6" s="1274"/>
      <c r="I6" s="1274"/>
      <c r="J6" s="1274"/>
    </row>
    <row r="7" spans="1:17" ht="27.75" customHeight="1">
      <c r="A7" s="1279" t="s">
        <v>661</v>
      </c>
      <c r="B7" s="1270" t="s">
        <v>696</v>
      </c>
      <c r="C7" s="1282"/>
      <c r="D7" s="1281" t="s">
        <v>818</v>
      </c>
      <c r="E7" s="1281" t="s">
        <v>819</v>
      </c>
      <c r="F7" s="1280" t="s">
        <v>817</v>
      </c>
      <c r="G7" s="1280" t="s">
        <v>768</v>
      </c>
      <c r="H7" s="1281" t="s">
        <v>821</v>
      </c>
      <c r="I7" s="1280" t="s">
        <v>21</v>
      </c>
      <c r="J7" s="1274"/>
    </row>
    <row r="8" spans="1:17" ht="18.75" customHeight="1">
      <c r="A8" s="1279"/>
      <c r="B8" s="1270"/>
      <c r="C8" s="1270"/>
      <c r="D8" s="1270"/>
      <c r="E8" s="1270"/>
      <c r="F8" s="1283"/>
      <c r="G8" s="1274"/>
      <c r="H8" s="1274"/>
      <c r="I8" s="1274"/>
      <c r="J8" s="1274"/>
    </row>
    <row r="9" spans="1:17" ht="15">
      <c r="A9" s="1271">
        <v>1</v>
      </c>
      <c r="B9" s="1304" t="s">
        <v>1084</v>
      </c>
      <c r="C9" s="1236"/>
      <c r="D9" s="1239"/>
      <c r="E9" s="1239">
        <v>493231.06</v>
      </c>
      <c r="F9" s="1239"/>
      <c r="G9" s="1306"/>
      <c r="H9" s="1239"/>
      <c r="I9" s="1227">
        <f t="shared" ref="I9:I32" si="0">SUM(D9:H9)</f>
        <v>493231.06</v>
      </c>
      <c r="J9" s="1274"/>
    </row>
    <row r="10" spans="1:17" ht="15">
      <c r="A10" s="1271">
        <f t="shared" ref="A10:A33" si="1">+A9+1</f>
        <v>2</v>
      </c>
      <c r="B10" s="1305"/>
      <c r="C10" s="1236"/>
      <c r="D10" s="1239"/>
      <c r="E10" s="1239"/>
      <c r="F10" s="1239"/>
      <c r="G10" s="1306"/>
      <c r="H10" s="1239"/>
      <c r="I10" s="1227">
        <f t="shared" si="0"/>
        <v>0</v>
      </c>
      <c r="J10" s="1274"/>
    </row>
    <row r="11" spans="1:17" ht="15">
      <c r="A11" s="1271">
        <f t="shared" si="1"/>
        <v>3</v>
      </c>
      <c r="B11" s="1305"/>
      <c r="C11" s="1236"/>
      <c r="D11" s="1239"/>
      <c r="E11" s="1239"/>
      <c r="F11" s="1239"/>
      <c r="G11" s="1306"/>
      <c r="H11" s="1239"/>
      <c r="I11" s="1227">
        <f t="shared" si="0"/>
        <v>0</v>
      </c>
      <c r="J11" s="1274"/>
    </row>
    <row r="12" spans="1:17" ht="15">
      <c r="A12" s="1271">
        <f t="shared" si="1"/>
        <v>4</v>
      </c>
      <c r="B12" s="1305"/>
      <c r="C12" s="1236"/>
      <c r="D12" s="1239"/>
      <c r="E12" s="1239"/>
      <c r="F12" s="1239"/>
      <c r="G12" s="1306"/>
      <c r="H12" s="1239"/>
      <c r="I12" s="1227">
        <f t="shared" si="0"/>
        <v>0</v>
      </c>
      <c r="J12" s="1274"/>
    </row>
    <row r="13" spans="1:17" ht="15">
      <c r="A13" s="1271">
        <f t="shared" si="1"/>
        <v>5</v>
      </c>
      <c r="B13" s="1305"/>
      <c r="C13" s="1236"/>
      <c r="D13" s="1239"/>
      <c r="E13" s="1239"/>
      <c r="F13" s="1239"/>
      <c r="G13" s="1306"/>
      <c r="H13" s="1239"/>
      <c r="I13" s="1227">
        <f t="shared" si="0"/>
        <v>0</v>
      </c>
      <c r="J13" s="1274"/>
    </row>
    <row r="14" spans="1:17" ht="15">
      <c r="A14" s="1271">
        <f t="shared" si="1"/>
        <v>6</v>
      </c>
      <c r="B14" s="1304"/>
      <c r="C14" s="1236"/>
      <c r="D14" s="1239"/>
      <c r="E14" s="1239"/>
      <c r="F14" s="1239"/>
      <c r="G14" s="1306"/>
      <c r="H14" s="1239"/>
      <c r="I14" s="1227">
        <f t="shared" si="0"/>
        <v>0</v>
      </c>
      <c r="J14" s="1274"/>
    </row>
    <row r="15" spans="1:17" ht="15">
      <c r="A15" s="1271">
        <f t="shared" si="1"/>
        <v>7</v>
      </c>
      <c r="B15" s="1304"/>
      <c r="C15" s="1236"/>
      <c r="D15" s="1239"/>
      <c r="E15" s="1239"/>
      <c r="F15" s="1239"/>
      <c r="G15" s="1306"/>
      <c r="H15" s="1239"/>
      <c r="I15" s="1227">
        <f t="shared" si="0"/>
        <v>0</v>
      </c>
      <c r="J15" s="1274"/>
    </row>
    <row r="16" spans="1:17" ht="15">
      <c r="A16" s="1271">
        <f t="shared" si="1"/>
        <v>8</v>
      </c>
      <c r="B16" s="1304"/>
      <c r="C16" s="1236"/>
      <c r="D16" s="1239"/>
      <c r="E16" s="1239"/>
      <c r="F16" s="1239"/>
      <c r="G16" s="1306"/>
      <c r="H16" s="1239"/>
      <c r="I16" s="1227">
        <f t="shared" si="0"/>
        <v>0</v>
      </c>
      <c r="J16" s="1274"/>
    </row>
    <row r="17" spans="1:10" ht="15">
      <c r="A17" s="1271">
        <f t="shared" si="1"/>
        <v>9</v>
      </c>
      <c r="B17" s="1304"/>
      <c r="C17" s="1236"/>
      <c r="D17" s="1239"/>
      <c r="E17" s="1239"/>
      <c r="F17" s="1239"/>
      <c r="G17" s="1306"/>
      <c r="H17" s="1239"/>
      <c r="I17" s="1227">
        <f t="shared" si="0"/>
        <v>0</v>
      </c>
      <c r="J17" s="1274"/>
    </row>
    <row r="18" spans="1:10" ht="15">
      <c r="A18" s="1271">
        <f t="shared" si="1"/>
        <v>10</v>
      </c>
      <c r="B18" s="1304"/>
      <c r="C18" s="1236"/>
      <c r="D18" s="1239"/>
      <c r="E18" s="1239"/>
      <c r="F18" s="1239"/>
      <c r="G18" s="1306"/>
      <c r="H18" s="1239"/>
      <c r="I18" s="1227">
        <f t="shared" si="0"/>
        <v>0</v>
      </c>
      <c r="J18" s="1274"/>
    </row>
    <row r="19" spans="1:10" ht="15">
      <c r="A19" s="1271">
        <f t="shared" si="1"/>
        <v>11</v>
      </c>
      <c r="B19" s="1304"/>
      <c r="C19" s="1236"/>
      <c r="D19" s="1239"/>
      <c r="E19" s="1239"/>
      <c r="F19" s="1239"/>
      <c r="G19" s="1306"/>
      <c r="H19" s="1239"/>
      <c r="I19" s="1227">
        <f t="shared" si="0"/>
        <v>0</v>
      </c>
      <c r="J19" s="1274"/>
    </row>
    <row r="20" spans="1:10" ht="15">
      <c r="A20" s="1271">
        <f t="shared" si="1"/>
        <v>12</v>
      </c>
      <c r="B20" s="1304"/>
      <c r="C20" s="1236"/>
      <c r="D20" s="1239"/>
      <c r="E20" s="1239"/>
      <c r="F20" s="1239"/>
      <c r="G20" s="1306"/>
      <c r="H20" s="1239"/>
      <c r="I20" s="1227">
        <f t="shared" si="0"/>
        <v>0</v>
      </c>
      <c r="J20" s="1274"/>
    </row>
    <row r="21" spans="1:10" ht="15">
      <c r="A21" s="1271">
        <f t="shared" si="1"/>
        <v>13</v>
      </c>
      <c r="B21" s="1304"/>
      <c r="C21" s="1236"/>
      <c r="D21" s="1239"/>
      <c r="E21" s="1239"/>
      <c r="F21" s="1239"/>
      <c r="G21" s="1306"/>
      <c r="H21" s="1239"/>
      <c r="I21" s="1227">
        <f t="shared" si="0"/>
        <v>0</v>
      </c>
      <c r="J21" s="1274"/>
    </row>
    <row r="22" spans="1:10" ht="15">
      <c r="A22" s="1271">
        <f t="shared" si="1"/>
        <v>14</v>
      </c>
      <c r="B22" s="1304"/>
      <c r="C22" s="1236"/>
      <c r="D22" s="1239"/>
      <c r="E22" s="1239"/>
      <c r="F22" s="1239"/>
      <c r="G22" s="1306"/>
      <c r="H22" s="1239"/>
      <c r="I22" s="1227">
        <f t="shared" si="0"/>
        <v>0</v>
      </c>
      <c r="J22" s="1274"/>
    </row>
    <row r="23" spans="1:10" ht="15">
      <c r="A23" s="1271">
        <f t="shared" si="1"/>
        <v>15</v>
      </c>
      <c r="B23" s="1304"/>
      <c r="C23" s="1236"/>
      <c r="D23" s="1239"/>
      <c r="E23" s="1239"/>
      <c r="F23" s="1239"/>
      <c r="G23" s="1306"/>
      <c r="H23" s="1239"/>
      <c r="I23" s="1227">
        <f t="shared" si="0"/>
        <v>0</v>
      </c>
      <c r="J23" s="1274"/>
    </row>
    <row r="24" spans="1:10" ht="15">
      <c r="A24" s="1271">
        <f t="shared" si="1"/>
        <v>16</v>
      </c>
      <c r="B24" s="1304"/>
      <c r="C24" s="1236"/>
      <c r="D24" s="1239"/>
      <c r="E24" s="1239"/>
      <c r="F24" s="1239"/>
      <c r="G24" s="1310"/>
      <c r="H24" s="1239"/>
      <c r="I24" s="1227">
        <f t="shared" si="0"/>
        <v>0</v>
      </c>
      <c r="J24" s="1274"/>
    </row>
    <row r="25" spans="1:10" ht="15">
      <c r="A25" s="1271">
        <f t="shared" si="1"/>
        <v>17</v>
      </c>
      <c r="B25" s="1304"/>
      <c r="C25" s="1236"/>
      <c r="D25" s="1239"/>
      <c r="E25" s="1239"/>
      <c r="F25" s="1239"/>
      <c r="G25" s="1310"/>
      <c r="H25" s="1239"/>
      <c r="I25" s="1227">
        <f t="shared" si="0"/>
        <v>0</v>
      </c>
      <c r="J25" s="1274"/>
    </row>
    <row r="26" spans="1:10" ht="15">
      <c r="A26" s="1271">
        <f t="shared" si="1"/>
        <v>18</v>
      </c>
      <c r="B26" s="1304"/>
      <c r="C26" s="1236"/>
      <c r="D26" s="1239"/>
      <c r="E26" s="1239"/>
      <c r="F26" s="1239"/>
      <c r="G26" s="1310"/>
      <c r="H26" s="1239"/>
      <c r="I26" s="1227">
        <f t="shared" si="0"/>
        <v>0</v>
      </c>
      <c r="J26" s="1274"/>
    </row>
    <row r="27" spans="1:10" ht="15">
      <c r="A27" s="1271">
        <f t="shared" si="1"/>
        <v>19</v>
      </c>
      <c r="B27" s="1304"/>
      <c r="C27" s="1236"/>
      <c r="D27" s="1239"/>
      <c r="E27" s="1239"/>
      <c r="F27" s="1239"/>
      <c r="G27" s="1310"/>
      <c r="H27" s="1239"/>
      <c r="I27" s="1227">
        <f t="shared" si="0"/>
        <v>0</v>
      </c>
      <c r="J27" s="1274"/>
    </row>
    <row r="28" spans="1:10" ht="15">
      <c r="A28" s="1271">
        <f t="shared" si="1"/>
        <v>20</v>
      </c>
      <c r="B28" s="1304"/>
      <c r="C28" s="1236"/>
      <c r="D28" s="1239"/>
      <c r="E28" s="1239"/>
      <c r="F28" s="1239"/>
      <c r="G28" s="1310"/>
      <c r="H28" s="1239"/>
      <c r="I28" s="1227">
        <f t="shared" si="0"/>
        <v>0</v>
      </c>
      <c r="J28" s="1274"/>
    </row>
    <row r="29" spans="1:10" ht="15">
      <c r="A29" s="1271">
        <f t="shared" si="1"/>
        <v>21</v>
      </c>
      <c r="B29" s="1304"/>
      <c r="C29" s="1236"/>
      <c r="D29" s="1239"/>
      <c r="E29" s="1239"/>
      <c r="F29" s="1239"/>
      <c r="G29" s="1310"/>
      <c r="H29" s="1239"/>
      <c r="I29" s="1227">
        <f t="shared" si="0"/>
        <v>0</v>
      </c>
      <c r="J29" s="1274"/>
    </row>
    <row r="30" spans="1:10" ht="15">
      <c r="A30" s="1271">
        <f t="shared" si="1"/>
        <v>22</v>
      </c>
      <c r="B30" s="1304"/>
      <c r="C30" s="1236"/>
      <c r="D30" s="1239"/>
      <c r="E30" s="1239"/>
      <c r="F30" s="1239"/>
      <c r="G30" s="1310"/>
      <c r="H30" s="1239"/>
      <c r="I30" s="1227">
        <f t="shared" si="0"/>
        <v>0</v>
      </c>
      <c r="J30" s="1274"/>
    </row>
    <row r="31" spans="1:10" ht="15">
      <c r="A31" s="1271">
        <f t="shared" si="1"/>
        <v>23</v>
      </c>
      <c r="B31" s="1304"/>
      <c r="C31" s="1236"/>
      <c r="D31" s="1239"/>
      <c r="E31" s="1239"/>
      <c r="F31" s="1239"/>
      <c r="G31" s="1310"/>
      <c r="H31" s="1239"/>
      <c r="I31" s="1227">
        <f t="shared" si="0"/>
        <v>0</v>
      </c>
      <c r="J31" s="1274"/>
    </row>
    <row r="32" spans="1:10" ht="15">
      <c r="A32" s="1271">
        <f t="shared" si="1"/>
        <v>24</v>
      </c>
      <c r="B32" s="1304"/>
      <c r="C32" s="1236"/>
      <c r="D32" s="1239"/>
      <c r="E32" s="1239"/>
      <c r="F32" s="1239"/>
      <c r="G32" s="1310"/>
      <c r="H32" s="1239"/>
      <c r="I32" s="1227">
        <f t="shared" si="0"/>
        <v>0</v>
      </c>
      <c r="J32" s="1274"/>
    </row>
    <row r="33" spans="1:15" ht="13.5" thickBot="1">
      <c r="A33" s="1271">
        <f t="shared" si="1"/>
        <v>25</v>
      </c>
      <c r="B33" s="1270" t="s">
        <v>21</v>
      </c>
      <c r="C33" s="1270"/>
      <c r="D33" s="1311">
        <f>SUM(D9:D32)</f>
        <v>0</v>
      </c>
      <c r="E33" s="1311">
        <f>SUM(E9:E32)</f>
        <v>493231.06</v>
      </c>
      <c r="F33" s="1311">
        <f>SUM(F9:F32)</f>
        <v>0</v>
      </c>
      <c r="G33" s="725"/>
      <c r="H33" s="1311">
        <f>SUM(H9:H32)</f>
        <v>0</v>
      </c>
      <c r="I33" s="1311">
        <f>SUM(I9:I32)</f>
        <v>493231.06</v>
      </c>
      <c r="J33" s="1274"/>
    </row>
    <row r="34" spans="1:15" ht="13.5" thickTop="1">
      <c r="A34" s="1285" t="s">
        <v>8</v>
      </c>
      <c r="B34" s="1270"/>
      <c r="C34" s="1270"/>
      <c r="D34" s="1308"/>
      <c r="E34" s="1308"/>
      <c r="F34" s="1308"/>
      <c r="G34" s="1308"/>
      <c r="H34" s="1308"/>
      <c r="I34" s="1308"/>
      <c r="J34" s="1274"/>
    </row>
    <row r="35" spans="1:15">
      <c r="A35" s="1284" t="s">
        <v>763</v>
      </c>
      <c r="B35" s="1283"/>
      <c r="C35" s="1283"/>
      <c r="D35" s="1270"/>
      <c r="E35" s="1270"/>
      <c r="F35" s="1270"/>
      <c r="G35" s="1274"/>
      <c r="H35" s="1274"/>
      <c r="I35" s="1274"/>
      <c r="J35" s="1274"/>
    </row>
    <row r="36" spans="1:15" ht="16.5">
      <c r="A36" s="1286" t="s">
        <v>924</v>
      </c>
      <c r="B36" s="1270"/>
      <c r="C36" s="1270"/>
      <c r="D36" s="1270"/>
      <c r="E36" s="1270"/>
      <c r="F36" s="1270"/>
      <c r="G36" s="1274"/>
      <c r="H36" s="1274"/>
      <c r="I36" s="1274"/>
      <c r="J36" s="1274"/>
    </row>
    <row r="37" spans="1:15" ht="25.5">
      <c r="A37" s="1281" t="s">
        <v>661</v>
      </c>
      <c r="B37" s="1282" t="s">
        <v>662</v>
      </c>
      <c r="C37" s="1282" t="s">
        <v>663</v>
      </c>
      <c r="D37" s="1281" t="s">
        <v>818</v>
      </c>
      <c r="E37" s="1281" t="s">
        <v>819</v>
      </c>
      <c r="F37" s="1280" t="s">
        <v>817</v>
      </c>
      <c r="G37" s="1280" t="s">
        <v>768</v>
      </c>
      <c r="H37" s="1281" t="s">
        <v>821</v>
      </c>
      <c r="I37" s="1280" t="s">
        <v>21</v>
      </c>
      <c r="J37" s="1274"/>
    </row>
    <row r="38" spans="1:15">
      <c r="A38" s="1279"/>
      <c r="B38" s="1270"/>
      <c r="C38" s="1270"/>
      <c r="D38" s="1270"/>
      <c r="E38" s="1270"/>
      <c r="F38" s="1274"/>
      <c r="G38" s="1270"/>
      <c r="H38" s="1276"/>
      <c r="I38" s="1276"/>
      <c r="J38" s="1276"/>
      <c r="K38" s="1275"/>
      <c r="L38" s="1275"/>
    </row>
    <row r="39" spans="1:15" ht="15">
      <c r="A39" s="1271">
        <f>+A33+1</f>
        <v>26</v>
      </c>
      <c r="B39" s="1273" t="s">
        <v>774</v>
      </c>
      <c r="C39" s="1228">
        <v>560</v>
      </c>
      <c r="D39" s="1239"/>
      <c r="E39" s="1239"/>
      <c r="F39" s="1239"/>
      <c r="G39" s="1306"/>
      <c r="H39" s="1239"/>
      <c r="I39" s="1227">
        <f t="shared" ref="I39:I62" si="2">SUM(D39:H39)</f>
        <v>0</v>
      </c>
      <c r="J39" s="1276"/>
      <c r="K39" s="1219"/>
      <c r="L39" s="1219"/>
      <c r="M39" s="1277"/>
      <c r="N39" s="1277"/>
      <c r="O39" s="1277"/>
    </row>
    <row r="40" spans="1:15" ht="15">
      <c r="A40" s="1271">
        <f t="shared" ref="A40:A63" si="3">+A39+1</f>
        <v>27</v>
      </c>
      <c r="B40" s="1273" t="s">
        <v>775</v>
      </c>
      <c r="C40" s="1228">
        <v>561.1</v>
      </c>
      <c r="D40" s="1239"/>
      <c r="E40" s="1239"/>
      <c r="F40" s="1239"/>
      <c r="G40" s="1306"/>
      <c r="H40" s="1239"/>
      <c r="I40" s="1227">
        <f t="shared" si="2"/>
        <v>0</v>
      </c>
      <c r="J40" s="1276"/>
      <c r="K40" s="1219"/>
      <c r="L40" s="1219"/>
      <c r="M40" s="1277"/>
      <c r="N40" s="1277"/>
      <c r="O40" s="1277"/>
    </row>
    <row r="41" spans="1:15" ht="15">
      <c r="A41" s="1271">
        <f t="shared" si="3"/>
        <v>28</v>
      </c>
      <c r="B41" s="1273" t="s">
        <v>776</v>
      </c>
      <c r="C41" s="1228">
        <v>561.20000000000005</v>
      </c>
      <c r="D41" s="1239"/>
      <c r="E41" s="1239"/>
      <c r="F41" s="1239"/>
      <c r="G41" s="1306"/>
      <c r="H41" s="1239"/>
      <c r="I41" s="1227">
        <f t="shared" si="2"/>
        <v>0</v>
      </c>
      <c r="J41" s="1276"/>
      <c r="K41" s="1219"/>
      <c r="L41" s="1219"/>
      <c r="M41" s="1277"/>
      <c r="N41" s="1277"/>
      <c r="O41" s="1277"/>
    </row>
    <row r="42" spans="1:15" ht="15">
      <c r="A42" s="1271">
        <f t="shared" si="3"/>
        <v>29</v>
      </c>
      <c r="B42" s="1273" t="s">
        <v>777</v>
      </c>
      <c r="C42" s="1228">
        <v>561.29999999999995</v>
      </c>
      <c r="D42" s="1239"/>
      <c r="E42" s="1239"/>
      <c r="F42" s="1239"/>
      <c r="G42" s="1306"/>
      <c r="H42" s="1239"/>
      <c r="I42" s="1227">
        <f t="shared" si="2"/>
        <v>0</v>
      </c>
      <c r="J42" s="1276"/>
      <c r="K42" s="1219"/>
      <c r="L42" s="1219"/>
      <c r="N42" s="1277"/>
      <c r="O42" s="1277"/>
    </row>
    <row r="43" spans="1:15" ht="15">
      <c r="A43" s="1271">
        <f t="shared" si="3"/>
        <v>30</v>
      </c>
      <c r="B43" s="1273" t="s">
        <v>778</v>
      </c>
      <c r="C43" s="1228">
        <v>561.4</v>
      </c>
      <c r="D43" s="1239"/>
      <c r="E43" s="1239"/>
      <c r="F43" s="1239"/>
      <c r="G43" s="1306"/>
      <c r="H43" s="1239"/>
      <c r="I43" s="1227">
        <f t="shared" si="2"/>
        <v>0</v>
      </c>
      <c r="J43" s="1225"/>
      <c r="K43" s="1219"/>
      <c r="L43" s="1275"/>
      <c r="M43" s="1277"/>
      <c r="N43" s="1277"/>
      <c r="O43" s="1277"/>
    </row>
    <row r="44" spans="1:15" ht="15">
      <c r="A44" s="1271">
        <f t="shared" si="3"/>
        <v>31</v>
      </c>
      <c r="B44" s="1273" t="s">
        <v>779</v>
      </c>
      <c r="C44" s="1228">
        <v>561.5</v>
      </c>
      <c r="D44" s="1239"/>
      <c r="E44" s="1239"/>
      <c r="F44" s="1239"/>
      <c r="G44" s="1306"/>
      <c r="H44" s="1239"/>
      <c r="I44" s="1227">
        <f t="shared" si="2"/>
        <v>0</v>
      </c>
      <c r="J44" s="1225"/>
      <c r="K44" s="1219"/>
      <c r="L44" s="1219"/>
      <c r="M44" s="1277"/>
      <c r="N44" s="1277"/>
      <c r="O44" s="1277"/>
    </row>
    <row r="45" spans="1:15" ht="15">
      <c r="A45" s="1271">
        <f t="shared" si="3"/>
        <v>32</v>
      </c>
      <c r="B45" s="1273" t="s">
        <v>780</v>
      </c>
      <c r="C45" s="1228">
        <v>561.6</v>
      </c>
      <c r="D45" s="1239"/>
      <c r="E45" s="1239"/>
      <c r="F45" s="1239"/>
      <c r="G45" s="1306"/>
      <c r="H45" s="1239"/>
      <c r="I45" s="1227">
        <f t="shared" si="2"/>
        <v>0</v>
      </c>
      <c r="J45" s="1225"/>
      <c r="K45" s="1219"/>
      <c r="L45" s="1219"/>
      <c r="M45" s="1277"/>
      <c r="N45" s="1277"/>
      <c r="O45" s="1277"/>
    </row>
    <row r="46" spans="1:15" ht="15">
      <c r="A46" s="1271">
        <f t="shared" si="3"/>
        <v>33</v>
      </c>
      <c r="B46" s="1273" t="s">
        <v>781</v>
      </c>
      <c r="C46" s="1228">
        <v>561.70000000000005</v>
      </c>
      <c r="D46" s="1239"/>
      <c r="E46" s="1239"/>
      <c r="F46" s="1239"/>
      <c r="G46" s="1306"/>
      <c r="H46" s="1239"/>
      <c r="I46" s="1227">
        <f t="shared" si="2"/>
        <v>0</v>
      </c>
      <c r="J46" s="1225"/>
      <c r="K46" s="1219"/>
      <c r="L46" s="1219"/>
      <c r="M46" s="1277"/>
      <c r="N46" s="1277"/>
      <c r="O46" s="1277"/>
    </row>
    <row r="47" spans="1:15" ht="15">
      <c r="A47" s="1271">
        <f t="shared" si="3"/>
        <v>34</v>
      </c>
      <c r="B47" s="1273" t="s">
        <v>782</v>
      </c>
      <c r="C47" s="1228">
        <v>561.79999999999995</v>
      </c>
      <c r="D47" s="1239"/>
      <c r="E47" s="1239"/>
      <c r="F47" s="1239"/>
      <c r="G47" s="1306"/>
      <c r="H47" s="1239"/>
      <c r="I47" s="1227">
        <f t="shared" si="2"/>
        <v>0</v>
      </c>
      <c r="J47" s="1276"/>
      <c r="K47" s="1219"/>
      <c r="L47" s="1219"/>
      <c r="M47" s="1277"/>
      <c r="N47" s="1277"/>
      <c r="O47" s="1277"/>
    </row>
    <row r="48" spans="1:15" ht="15">
      <c r="A48" s="1271">
        <f t="shared" si="3"/>
        <v>35</v>
      </c>
      <c r="B48" s="1273" t="s">
        <v>788</v>
      </c>
      <c r="C48" s="1228">
        <v>562</v>
      </c>
      <c r="D48" s="1239"/>
      <c r="E48" s="1239"/>
      <c r="F48" s="1239"/>
      <c r="G48" s="1306"/>
      <c r="H48" s="1239"/>
      <c r="I48" s="1227">
        <f t="shared" si="2"/>
        <v>0</v>
      </c>
      <c r="J48" s="1276"/>
      <c r="K48" s="1275"/>
      <c r="L48" s="1275"/>
    </row>
    <row r="49" spans="1:12" ht="15">
      <c r="A49" s="1271">
        <f t="shared" si="3"/>
        <v>36</v>
      </c>
      <c r="B49" s="1273" t="s">
        <v>789</v>
      </c>
      <c r="C49" s="1228">
        <v>563</v>
      </c>
      <c r="D49" s="1239"/>
      <c r="E49" s="1239"/>
      <c r="F49" s="1239"/>
      <c r="G49" s="1306"/>
      <c r="H49" s="1239"/>
      <c r="I49" s="1227">
        <f t="shared" si="2"/>
        <v>0</v>
      </c>
      <c r="J49" s="1276"/>
      <c r="K49" s="1275"/>
      <c r="L49" s="1275"/>
    </row>
    <row r="50" spans="1:12" ht="15">
      <c r="A50" s="1271">
        <f t="shared" si="3"/>
        <v>37</v>
      </c>
      <c r="B50" s="1273" t="s">
        <v>790</v>
      </c>
      <c r="C50" s="1228">
        <v>564</v>
      </c>
      <c r="D50" s="1239"/>
      <c r="E50" s="1239"/>
      <c r="F50" s="1239"/>
      <c r="G50" s="1306"/>
      <c r="H50" s="1239"/>
      <c r="I50" s="1227">
        <f t="shared" si="2"/>
        <v>0</v>
      </c>
      <c r="J50" s="1274"/>
    </row>
    <row r="51" spans="1:12" ht="15">
      <c r="A51" s="1271">
        <f t="shared" si="3"/>
        <v>38</v>
      </c>
      <c r="B51" s="1273" t="s">
        <v>791</v>
      </c>
      <c r="C51" s="1228">
        <v>565</v>
      </c>
      <c r="D51" s="1239"/>
      <c r="E51" s="1239"/>
      <c r="F51" s="1239"/>
      <c r="G51" s="1306"/>
      <c r="H51" s="1239"/>
      <c r="I51" s="1227">
        <f t="shared" si="2"/>
        <v>0</v>
      </c>
      <c r="J51" s="1274"/>
    </row>
    <row r="52" spans="1:12" ht="15">
      <c r="A52" s="1271">
        <f t="shared" si="3"/>
        <v>39</v>
      </c>
      <c r="B52" s="1273" t="s">
        <v>792</v>
      </c>
      <c r="C52" s="1228">
        <v>566</v>
      </c>
      <c r="D52" s="1239"/>
      <c r="E52" s="1239">
        <v>493231.06</v>
      </c>
      <c r="F52" s="1239"/>
      <c r="G52" s="1306"/>
      <c r="H52" s="1239"/>
      <c r="I52" s="1227">
        <f t="shared" si="2"/>
        <v>493231.06</v>
      </c>
      <c r="J52" s="1274"/>
    </row>
    <row r="53" spans="1:12" ht="15">
      <c r="A53" s="1271">
        <f t="shared" si="3"/>
        <v>40</v>
      </c>
      <c r="B53" s="1273" t="s">
        <v>783</v>
      </c>
      <c r="C53" s="1228">
        <v>567</v>
      </c>
      <c r="D53" s="1239"/>
      <c r="E53" s="1239"/>
      <c r="F53" s="1239"/>
      <c r="G53" s="1306"/>
      <c r="H53" s="1239"/>
      <c r="I53" s="1227">
        <f t="shared" si="2"/>
        <v>0</v>
      </c>
      <c r="J53" s="1274"/>
    </row>
    <row r="54" spans="1:12" ht="15">
      <c r="A54" s="1271">
        <f t="shared" si="3"/>
        <v>41</v>
      </c>
      <c r="B54" s="1273" t="s">
        <v>793</v>
      </c>
      <c r="C54" s="1228">
        <v>568</v>
      </c>
      <c r="D54" s="1239"/>
      <c r="E54" s="1239"/>
      <c r="F54" s="1239"/>
      <c r="G54" s="1306"/>
      <c r="H54" s="1239"/>
      <c r="I54" s="1227">
        <f t="shared" si="2"/>
        <v>0</v>
      </c>
    </row>
    <row r="55" spans="1:12" ht="15">
      <c r="A55" s="1271">
        <f t="shared" si="3"/>
        <v>42</v>
      </c>
      <c r="B55" s="1273" t="s">
        <v>794</v>
      </c>
      <c r="C55" s="1228">
        <v>569</v>
      </c>
      <c r="D55" s="1239"/>
      <c r="E55" s="1239"/>
      <c r="F55" s="1239"/>
      <c r="G55" s="1306"/>
      <c r="H55" s="1239"/>
      <c r="I55" s="1227">
        <f t="shared" si="2"/>
        <v>0</v>
      </c>
    </row>
    <row r="56" spans="1:12" ht="15">
      <c r="A56" s="1271">
        <f t="shared" si="3"/>
        <v>43</v>
      </c>
      <c r="B56" s="1273" t="s">
        <v>784</v>
      </c>
      <c r="C56" s="1228">
        <v>569.1</v>
      </c>
      <c r="D56" s="1239"/>
      <c r="E56" s="1239"/>
      <c r="F56" s="1239"/>
      <c r="G56" s="1306"/>
      <c r="H56" s="1239"/>
      <c r="I56" s="1227">
        <f t="shared" si="2"/>
        <v>0</v>
      </c>
    </row>
    <row r="57" spans="1:12" ht="15">
      <c r="A57" s="1271">
        <f t="shared" si="3"/>
        <v>44</v>
      </c>
      <c r="B57" s="1273" t="s">
        <v>785</v>
      </c>
      <c r="C57" s="1228">
        <v>569.20000000000005</v>
      </c>
      <c r="D57" s="1239"/>
      <c r="E57" s="1239"/>
      <c r="F57" s="1239"/>
      <c r="G57" s="1306"/>
      <c r="H57" s="1239"/>
      <c r="I57" s="1227">
        <f t="shared" si="2"/>
        <v>0</v>
      </c>
    </row>
    <row r="58" spans="1:12" ht="15">
      <c r="A58" s="1271">
        <f t="shared" si="3"/>
        <v>45</v>
      </c>
      <c r="B58" s="1273" t="s">
        <v>786</v>
      </c>
      <c r="C58" s="1228">
        <v>569.29999999999995</v>
      </c>
      <c r="D58" s="1239"/>
      <c r="E58" s="1239"/>
      <c r="F58" s="1239"/>
      <c r="G58" s="1306"/>
      <c r="H58" s="1239"/>
      <c r="I58" s="1227">
        <f t="shared" si="2"/>
        <v>0</v>
      </c>
    </row>
    <row r="59" spans="1:12" ht="15">
      <c r="A59" s="1271">
        <f t="shared" si="3"/>
        <v>46</v>
      </c>
      <c r="B59" s="1273" t="s">
        <v>787</v>
      </c>
      <c r="C59" s="1228">
        <v>569.4</v>
      </c>
      <c r="D59" s="1239"/>
      <c r="E59" s="1239"/>
      <c r="F59" s="1239"/>
      <c r="G59" s="1306"/>
      <c r="H59" s="1239"/>
      <c r="I59" s="1227">
        <f t="shared" si="2"/>
        <v>0</v>
      </c>
    </row>
    <row r="60" spans="1:12" ht="15">
      <c r="A60" s="1271">
        <f t="shared" si="3"/>
        <v>47</v>
      </c>
      <c r="B60" s="1273" t="s">
        <v>795</v>
      </c>
      <c r="C60" s="1228">
        <v>570</v>
      </c>
      <c r="D60" s="1239"/>
      <c r="E60" s="1239"/>
      <c r="F60" s="1239"/>
      <c r="G60" s="1306"/>
      <c r="H60" s="1239"/>
      <c r="I60" s="1227">
        <f t="shared" si="2"/>
        <v>0</v>
      </c>
    </row>
    <row r="61" spans="1:12" ht="15">
      <c r="A61" s="1271">
        <f t="shared" si="3"/>
        <v>48</v>
      </c>
      <c r="B61" s="1273" t="s">
        <v>796</v>
      </c>
      <c r="C61" s="1228">
        <v>571</v>
      </c>
      <c r="D61" s="1239"/>
      <c r="E61" s="1239"/>
      <c r="F61" s="1239"/>
      <c r="G61" s="1306"/>
      <c r="H61" s="1239"/>
      <c r="I61" s="1227">
        <f t="shared" si="2"/>
        <v>0</v>
      </c>
    </row>
    <row r="62" spans="1:12" ht="15">
      <c r="A62" s="1271">
        <f t="shared" si="3"/>
        <v>49</v>
      </c>
      <c r="B62" s="1273" t="s">
        <v>797</v>
      </c>
      <c r="C62" s="1228">
        <v>572</v>
      </c>
      <c r="D62" s="1239"/>
      <c r="E62" s="1239"/>
      <c r="F62" s="1239"/>
      <c r="G62" s="1306"/>
      <c r="H62" s="1239"/>
      <c r="I62" s="1227">
        <f t="shared" si="2"/>
        <v>0</v>
      </c>
    </row>
    <row r="63" spans="1:12" ht="13.5" thickBot="1">
      <c r="A63" s="1271">
        <f t="shared" si="3"/>
        <v>50</v>
      </c>
      <c r="B63" s="1270" t="s">
        <v>21</v>
      </c>
      <c r="C63" s="1270"/>
      <c r="D63" s="1269">
        <f>SUM(D39:D62)</f>
        <v>0</v>
      </c>
      <c r="E63" s="1269">
        <f>SUM(E39:E62)</f>
        <v>493231.06</v>
      </c>
      <c r="F63" s="1269">
        <f>SUM(F39:F62)</f>
        <v>0</v>
      </c>
      <c r="H63" s="1269">
        <f>SUM(H39:H62)</f>
        <v>0</v>
      </c>
      <c r="I63" s="1269">
        <f>SUM(I39:I62)</f>
        <v>493231.06</v>
      </c>
    </row>
    <row r="64" spans="1:12" ht="13.5" thickTop="1"/>
    <row r="65" spans="2:2">
      <c r="B65" s="1268" t="s">
        <v>798</v>
      </c>
    </row>
    <row r="66" spans="2:2">
      <c r="B66" s="1268" t="s">
        <v>956</v>
      </c>
    </row>
    <row r="67" spans="2:2" ht="14.25">
      <c r="B67" s="1268" t="s">
        <v>820</v>
      </c>
    </row>
  </sheetData>
  <mergeCells count="2">
    <mergeCell ref="A1:F1"/>
    <mergeCell ref="A2:F2"/>
  </mergeCells>
  <pageMargins left="0.25" right="0.25" top="0.75" bottom="0.75" header="0.3" footer="0.3"/>
  <pageSetup scale="4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R61"/>
  <sheetViews>
    <sheetView view="pageBreakPreview" zoomScale="60" zoomScaleNormal="100" workbookViewId="0">
      <selection activeCell="D34" sqref="D34"/>
    </sheetView>
  </sheetViews>
  <sheetFormatPr defaultColWidth="8.77734375" defaultRowHeight="12.75"/>
  <cols>
    <col min="1" max="1" width="3.77734375" style="1266" customWidth="1"/>
    <col min="2" max="2" width="29.109375" style="1266" customWidth="1"/>
    <col min="3" max="3" width="14.21875" style="1266" customWidth="1"/>
    <col min="4" max="4" width="15.21875" style="1266" bestFit="1" customWidth="1"/>
    <col min="5" max="5" width="8.77734375" style="1266" customWidth="1"/>
    <col min="6" max="6" width="7.21875" style="1266" bestFit="1" customWidth="1"/>
    <col min="7" max="7" width="8.77734375" style="1266" customWidth="1"/>
    <col min="8" max="8" width="10.109375" style="1266" customWidth="1"/>
    <col min="9" max="9" width="8.77734375" style="845"/>
    <col min="10" max="16384" width="8.77734375" style="1266"/>
  </cols>
  <sheetData>
    <row r="1" spans="1:18" ht="15">
      <c r="A1" s="1629" t="s">
        <v>833</v>
      </c>
      <c r="B1" s="1630"/>
      <c r="C1" s="1630"/>
      <c r="D1" s="1630"/>
      <c r="E1" s="1630"/>
      <c r="F1" s="1630"/>
      <c r="G1" s="1630"/>
      <c r="H1" s="1065"/>
      <c r="I1" s="411"/>
      <c r="J1" s="1065"/>
      <c r="K1" s="1065"/>
      <c r="L1" s="1065"/>
      <c r="M1" s="1065"/>
      <c r="N1" s="1065"/>
      <c r="O1" s="1065"/>
      <c r="P1" s="1065"/>
      <c r="Q1" s="1065"/>
      <c r="R1" s="1065"/>
    </row>
    <row r="2" spans="1:18" ht="15.75">
      <c r="A2" s="1630" t="s">
        <v>491</v>
      </c>
      <c r="B2" s="1630"/>
      <c r="C2" s="1630"/>
      <c r="D2" s="1630"/>
      <c r="E2" s="1630"/>
      <c r="F2" s="1630"/>
      <c r="G2" s="1630"/>
      <c r="H2" s="1496" t="s">
        <v>1080</v>
      </c>
      <c r="I2" s="1307"/>
      <c r="J2" s="1065"/>
      <c r="K2" s="1065"/>
      <c r="L2" s="1065"/>
      <c r="M2" s="1065"/>
      <c r="N2" s="1065"/>
      <c r="O2" s="1065"/>
      <c r="P2" s="1065"/>
      <c r="Q2" s="1065"/>
      <c r="R2" s="1065"/>
    </row>
    <row r="3" spans="1:18" ht="15">
      <c r="H3" s="1481">
        <v>44195</v>
      </c>
      <c r="I3" s="1246"/>
    </row>
    <row r="4" spans="1:18">
      <c r="A4" s="1274"/>
      <c r="B4" s="1274"/>
      <c r="C4" s="1274"/>
      <c r="D4" s="1274"/>
      <c r="E4" s="1274"/>
      <c r="F4" s="1274"/>
      <c r="G4" s="1274"/>
      <c r="H4" s="1274"/>
      <c r="I4" s="1308"/>
      <c r="J4" s="1274"/>
      <c r="K4" s="1274"/>
    </row>
    <row r="5" spans="1:18">
      <c r="A5" s="1274"/>
      <c r="B5" s="1274"/>
      <c r="C5" s="1274"/>
      <c r="D5" s="1274"/>
      <c r="E5" s="1274"/>
      <c r="F5" s="1274"/>
      <c r="G5" s="1274"/>
      <c r="H5" s="1274"/>
      <c r="I5" s="1308"/>
      <c r="J5" s="1274"/>
      <c r="K5" s="1274"/>
    </row>
    <row r="6" spans="1:18">
      <c r="A6" s="1313" t="s">
        <v>814</v>
      </c>
      <c r="B6" s="1283"/>
      <c r="C6" s="1283"/>
      <c r="D6" s="1270"/>
      <c r="E6" s="1270"/>
      <c r="F6" s="1270"/>
      <c r="G6" s="1270"/>
      <c r="H6" s="1274"/>
      <c r="I6" s="1308"/>
      <c r="J6" s="1274"/>
      <c r="K6" s="1274"/>
    </row>
    <row r="7" spans="1:18">
      <c r="A7" s="1270"/>
      <c r="B7" s="1270"/>
      <c r="C7" s="1270"/>
      <c r="D7" s="1270"/>
      <c r="E7" s="1270"/>
      <c r="F7" s="1270"/>
      <c r="G7" s="1270"/>
      <c r="H7" s="1274"/>
      <c r="I7" s="1308"/>
      <c r="J7" s="1274"/>
      <c r="K7" s="1274"/>
    </row>
    <row r="8" spans="1:18">
      <c r="A8" s="1270" t="s">
        <v>661</v>
      </c>
      <c r="B8" s="1270" t="s">
        <v>696</v>
      </c>
      <c r="C8" s="1270"/>
      <c r="D8" s="1270" t="s">
        <v>665</v>
      </c>
      <c r="E8" s="1270" t="s">
        <v>664</v>
      </c>
      <c r="F8" s="1274" t="s">
        <v>767</v>
      </c>
      <c r="G8" s="1274" t="s">
        <v>768</v>
      </c>
      <c r="H8" s="1270" t="s">
        <v>769</v>
      </c>
      <c r="I8" s="1308" t="s">
        <v>21</v>
      </c>
      <c r="J8" s="1274"/>
      <c r="K8" s="1274"/>
    </row>
    <row r="9" spans="1:18">
      <c r="A9" s="1270"/>
      <c r="B9" s="1270"/>
      <c r="C9" s="1270"/>
      <c r="D9" s="1270"/>
      <c r="E9" s="1270"/>
      <c r="F9" s="1274"/>
      <c r="G9" s="1270"/>
      <c r="H9" s="1276"/>
      <c r="I9" s="1225"/>
      <c r="J9" s="1274"/>
      <c r="K9" s="1274"/>
    </row>
    <row r="10" spans="1:18">
      <c r="A10" s="1271">
        <v>1</v>
      </c>
      <c r="B10" s="1239" t="s">
        <v>1083</v>
      </c>
      <c r="C10" s="1240"/>
      <c r="D10" s="1483"/>
      <c r="E10" s="1310">
        <v>161267</v>
      </c>
      <c r="F10" s="1306"/>
      <c r="G10" s="1306"/>
      <c r="H10" s="1239">
        <f>+'WP1 - O&amp;M detail'!H33*0.5</f>
        <v>0</v>
      </c>
      <c r="I10" s="1227">
        <f>+D10+E10+H10</f>
        <v>161267</v>
      </c>
      <c r="J10" s="1274"/>
      <c r="K10" s="1274"/>
    </row>
    <row r="11" spans="1:18">
      <c r="A11" s="1226">
        <f t="shared" ref="A11:A25" si="0">+A10+1</f>
        <v>2</v>
      </c>
      <c r="B11" s="1278"/>
      <c r="C11" s="1240"/>
      <c r="D11" s="1306"/>
      <c r="E11" s="1307"/>
      <c r="F11" s="1306"/>
      <c r="G11" s="1306"/>
      <c r="H11" s="1306"/>
      <c r="I11" s="1227">
        <f t="shared" ref="I11:I24" si="1">+D11+E11+H11</f>
        <v>0</v>
      </c>
      <c r="J11" s="1274"/>
      <c r="K11" s="1274"/>
    </row>
    <row r="12" spans="1:18">
      <c r="A12" s="1226">
        <f t="shared" si="0"/>
        <v>3</v>
      </c>
      <c r="B12" s="1278"/>
      <c r="C12" s="1240"/>
      <c r="D12" s="1306"/>
      <c r="E12" s="1307"/>
      <c r="F12" s="1306"/>
      <c r="G12" s="1306"/>
      <c r="H12" s="1306"/>
      <c r="I12" s="1227">
        <f t="shared" si="1"/>
        <v>0</v>
      </c>
      <c r="J12" s="1274"/>
      <c r="K12" s="1274"/>
    </row>
    <row r="13" spans="1:18">
      <c r="A13" s="1226">
        <f t="shared" si="0"/>
        <v>4</v>
      </c>
      <c r="B13" s="1278"/>
      <c r="C13" s="1240"/>
      <c r="D13" s="1306"/>
      <c r="E13" s="1307"/>
      <c r="F13" s="1306"/>
      <c r="G13" s="1306"/>
      <c r="H13" s="1306"/>
      <c r="I13" s="1227">
        <f t="shared" si="1"/>
        <v>0</v>
      </c>
      <c r="J13" s="1274"/>
      <c r="K13" s="1274"/>
    </row>
    <row r="14" spans="1:18">
      <c r="A14" s="1226">
        <f t="shared" si="0"/>
        <v>5</v>
      </c>
      <c r="B14" s="1278"/>
      <c r="C14" s="1240"/>
      <c r="D14" s="1306"/>
      <c r="E14" s="1307"/>
      <c r="F14" s="1306"/>
      <c r="G14" s="1306"/>
      <c r="H14" s="1306"/>
      <c r="I14" s="1227">
        <f t="shared" si="1"/>
        <v>0</v>
      </c>
      <c r="J14" s="1274"/>
      <c r="K14" s="1274"/>
    </row>
    <row r="15" spans="1:18">
      <c r="A15" s="1226">
        <f t="shared" si="0"/>
        <v>6</v>
      </c>
      <c r="B15" s="1278"/>
      <c r="C15" s="1240"/>
      <c r="D15" s="1306"/>
      <c r="E15" s="1307"/>
      <c r="F15" s="1306"/>
      <c r="G15" s="1306"/>
      <c r="H15" s="1306"/>
      <c r="I15" s="1227">
        <f t="shared" si="1"/>
        <v>0</v>
      </c>
      <c r="J15" s="1274"/>
      <c r="K15" s="1274"/>
    </row>
    <row r="16" spans="1:18">
      <c r="A16" s="1226">
        <f t="shared" si="0"/>
        <v>7</v>
      </c>
      <c r="B16" s="1278"/>
      <c r="C16" s="1240"/>
      <c r="D16" s="1306"/>
      <c r="E16" s="1307"/>
      <c r="F16" s="1306"/>
      <c r="G16" s="1306"/>
      <c r="H16" s="1306"/>
      <c r="I16" s="1227">
        <f t="shared" si="1"/>
        <v>0</v>
      </c>
      <c r="J16" s="1274"/>
      <c r="K16" s="1274"/>
    </row>
    <row r="17" spans="1:11">
      <c r="A17" s="1226">
        <f t="shared" si="0"/>
        <v>8</v>
      </c>
      <c r="B17" s="1278"/>
      <c r="C17" s="1240"/>
      <c r="D17" s="1306"/>
      <c r="E17" s="1307"/>
      <c r="F17" s="1306"/>
      <c r="G17" s="1306"/>
      <c r="H17" s="1306"/>
      <c r="I17" s="1227">
        <f t="shared" si="1"/>
        <v>0</v>
      </c>
      <c r="J17" s="1274"/>
      <c r="K17" s="1274"/>
    </row>
    <row r="18" spans="1:11">
      <c r="A18" s="1226">
        <f t="shared" si="0"/>
        <v>9</v>
      </c>
      <c r="B18" s="1278"/>
      <c r="C18" s="1240"/>
      <c r="D18" s="1306"/>
      <c r="E18" s="1307"/>
      <c r="F18" s="1306"/>
      <c r="G18" s="1306"/>
      <c r="H18" s="1306"/>
      <c r="I18" s="1227">
        <f t="shared" si="1"/>
        <v>0</v>
      </c>
      <c r="J18" s="1274"/>
      <c r="K18" s="1274"/>
    </row>
    <row r="19" spans="1:11">
      <c r="A19" s="1226">
        <f t="shared" si="0"/>
        <v>10</v>
      </c>
      <c r="B19" s="1278"/>
      <c r="C19" s="1240"/>
      <c r="D19" s="1306"/>
      <c r="E19" s="1307"/>
      <c r="F19" s="1306"/>
      <c r="G19" s="1306"/>
      <c r="H19" s="1306"/>
      <c r="I19" s="1227">
        <f t="shared" si="1"/>
        <v>0</v>
      </c>
      <c r="J19" s="1274"/>
      <c r="K19" s="1274"/>
    </row>
    <row r="20" spans="1:11">
      <c r="A20" s="1226">
        <f t="shared" si="0"/>
        <v>11</v>
      </c>
      <c r="B20" s="1278"/>
      <c r="C20" s="1240"/>
      <c r="D20" s="1306"/>
      <c r="E20" s="1307"/>
      <c r="F20" s="1306"/>
      <c r="G20" s="1306"/>
      <c r="H20" s="1306"/>
      <c r="I20" s="1227">
        <f t="shared" si="1"/>
        <v>0</v>
      </c>
      <c r="J20" s="1274"/>
      <c r="K20" s="1274"/>
    </row>
    <row r="21" spans="1:11">
      <c r="A21" s="1226">
        <f t="shared" si="0"/>
        <v>12</v>
      </c>
      <c r="B21" s="1278"/>
      <c r="C21" s="1240"/>
      <c r="D21" s="1306"/>
      <c r="E21" s="1307"/>
      <c r="F21" s="1306"/>
      <c r="G21" s="1306"/>
      <c r="H21" s="1306"/>
      <c r="I21" s="1227">
        <f t="shared" si="1"/>
        <v>0</v>
      </c>
      <c r="J21" s="1274"/>
      <c r="K21" s="1274"/>
    </row>
    <row r="22" spans="1:11">
      <c r="A22" s="1226">
        <f t="shared" si="0"/>
        <v>13</v>
      </c>
      <c r="B22" s="1278"/>
      <c r="C22" s="1240"/>
      <c r="D22" s="1306"/>
      <c r="E22" s="1307"/>
      <c r="F22" s="1306"/>
      <c r="G22" s="1306"/>
      <c r="H22" s="1306"/>
      <c r="I22" s="1227">
        <f t="shared" si="1"/>
        <v>0</v>
      </c>
      <c r="J22" s="1274"/>
      <c r="K22" s="1274"/>
    </row>
    <row r="23" spans="1:11">
      <c r="A23" s="1226">
        <f t="shared" si="0"/>
        <v>14</v>
      </c>
      <c r="B23" s="1278"/>
      <c r="C23" s="1240"/>
      <c r="D23" s="1306"/>
      <c r="E23" s="1307"/>
      <c r="F23" s="1306"/>
      <c r="G23" s="1306"/>
      <c r="H23" s="1306"/>
      <c r="I23" s="1227">
        <f t="shared" si="1"/>
        <v>0</v>
      </c>
      <c r="J23" s="1274"/>
      <c r="K23" s="1274"/>
    </row>
    <row r="24" spans="1:11">
      <c r="A24" s="1226">
        <f t="shared" si="0"/>
        <v>15</v>
      </c>
      <c r="B24" s="1278"/>
      <c r="C24" s="1240"/>
      <c r="D24" s="1306"/>
      <c r="E24" s="1307"/>
      <c r="F24" s="1306"/>
      <c r="G24" s="1306"/>
      <c r="H24" s="1306"/>
      <c r="I24" s="1227">
        <f t="shared" si="1"/>
        <v>0</v>
      </c>
      <c r="J24" s="1274"/>
      <c r="K24" s="1274"/>
    </row>
    <row r="25" spans="1:11">
      <c r="A25" s="1226">
        <f t="shared" si="0"/>
        <v>16</v>
      </c>
      <c r="B25" s="1289" t="s">
        <v>21</v>
      </c>
      <c r="C25" s="1289"/>
      <c r="D25" s="1309"/>
      <c r="E25" s="1309"/>
      <c r="F25" s="1309"/>
      <c r="G25" s="1308"/>
      <c r="H25" s="1308"/>
      <c r="I25" s="1308">
        <f>SUM(I10:I24)</f>
        <v>161267</v>
      </c>
      <c r="J25" s="1274"/>
      <c r="K25" s="1274"/>
    </row>
    <row r="26" spans="1:11">
      <c r="A26" s="1270"/>
      <c r="B26" s="1270" t="s">
        <v>8</v>
      </c>
      <c r="C26" s="1270"/>
      <c r="D26" s="1270"/>
      <c r="E26" s="1270"/>
      <c r="F26" s="1270"/>
      <c r="G26" s="1270"/>
      <c r="H26" s="1274"/>
      <c r="I26" s="1308"/>
      <c r="J26" s="1274"/>
      <c r="K26" s="1274"/>
    </row>
    <row r="27" spans="1:11">
      <c r="A27" s="1313" t="s">
        <v>829</v>
      </c>
      <c r="B27" s="1283"/>
      <c r="C27" s="1283"/>
      <c r="D27" s="1270"/>
      <c r="E27" s="1270"/>
      <c r="F27" s="1270"/>
      <c r="G27" s="1270"/>
      <c r="H27" s="1274"/>
      <c r="I27" s="1308"/>
      <c r="J27" s="1274"/>
      <c r="K27" s="1274"/>
    </row>
    <row r="28" spans="1:11">
      <c r="A28" s="1270"/>
      <c r="B28" s="1270"/>
      <c r="C28" s="1270"/>
      <c r="D28" s="1270"/>
      <c r="E28" s="1270"/>
      <c r="F28" s="1270"/>
      <c r="G28" s="1270"/>
      <c r="H28" s="1274"/>
      <c r="I28" s="1308"/>
      <c r="J28" s="1274"/>
      <c r="K28" s="1274"/>
    </row>
    <row r="29" spans="1:11">
      <c r="A29" s="1270" t="s">
        <v>661</v>
      </c>
      <c r="B29" s="1270" t="s">
        <v>662</v>
      </c>
      <c r="C29" s="1270" t="s">
        <v>663</v>
      </c>
      <c r="D29" s="1270" t="s">
        <v>665</v>
      </c>
      <c r="E29" s="1270" t="s">
        <v>664</v>
      </c>
      <c r="F29" s="1274" t="s">
        <v>767</v>
      </c>
      <c r="G29" s="1274" t="s">
        <v>768</v>
      </c>
      <c r="H29" s="1270" t="s">
        <v>769</v>
      </c>
      <c r="I29" s="1308" t="s">
        <v>21</v>
      </c>
      <c r="J29" s="1274"/>
      <c r="K29" s="1274"/>
    </row>
    <row r="30" spans="1:11">
      <c r="A30" s="1279"/>
      <c r="B30" s="1270"/>
      <c r="C30" s="1270"/>
      <c r="D30" s="1270"/>
      <c r="E30" s="1270"/>
      <c r="F30" s="1274"/>
      <c r="G30" s="1270"/>
      <c r="H30" s="1276"/>
      <c r="I30" s="1225"/>
      <c r="J30" s="1274"/>
      <c r="K30" s="1274"/>
    </row>
    <row r="31" spans="1:11">
      <c r="A31" s="1226">
        <f>+A25+1</f>
        <v>17</v>
      </c>
      <c r="B31" s="1227" t="s">
        <v>799</v>
      </c>
      <c r="C31" s="1229">
        <v>920</v>
      </c>
      <c r="D31" s="1239"/>
      <c r="E31" s="1239"/>
      <c r="F31" s="1239"/>
      <c r="G31" s="1306"/>
      <c r="H31" s="1239"/>
      <c r="I31" s="1227">
        <f>+D31+E31+F31+H31</f>
        <v>0</v>
      </c>
      <c r="J31" s="1274"/>
      <c r="K31" s="1274"/>
    </row>
    <row r="32" spans="1:11">
      <c r="A32" s="1226">
        <f t="shared" ref="A32:A46" si="2">+A31+1</f>
        <v>18</v>
      </c>
      <c r="B32" s="1283" t="s">
        <v>800</v>
      </c>
      <c r="C32" s="1229">
        <v>921</v>
      </c>
      <c r="D32" s="1306"/>
      <c r="E32" s="1306"/>
      <c r="F32" s="1306"/>
      <c r="G32" s="1306"/>
      <c r="H32" s="1239"/>
      <c r="I32" s="1227">
        <f t="shared" ref="I32:I45" si="3">+D32+E32+F32+H32</f>
        <v>0</v>
      </c>
      <c r="J32" s="1274"/>
      <c r="K32" s="1274"/>
    </row>
    <row r="33" spans="1:11">
      <c r="A33" s="1226">
        <f t="shared" si="2"/>
        <v>19</v>
      </c>
      <c r="B33" s="1283" t="s">
        <v>801</v>
      </c>
      <c r="C33" s="1229">
        <v>922</v>
      </c>
      <c r="D33" s="1306"/>
      <c r="E33" s="1306"/>
      <c r="F33" s="1306"/>
      <c r="G33" s="1306"/>
      <c r="H33" s="1239"/>
      <c r="I33" s="1227">
        <f t="shared" si="3"/>
        <v>0</v>
      </c>
      <c r="J33" s="1274"/>
      <c r="K33" s="1274"/>
    </row>
    <row r="34" spans="1:11">
      <c r="A34" s="1226">
        <f t="shared" si="2"/>
        <v>20</v>
      </c>
      <c r="B34" s="1283" t="s">
        <v>802</v>
      </c>
      <c r="C34" s="1229">
        <v>923</v>
      </c>
      <c r="D34" s="1306"/>
      <c r="E34" s="1306">
        <v>161267</v>
      </c>
      <c r="F34" s="1306"/>
      <c r="G34" s="1306"/>
      <c r="H34" s="1239"/>
      <c r="I34" s="1227">
        <f t="shared" si="3"/>
        <v>161267</v>
      </c>
      <c r="J34" s="1274"/>
      <c r="K34" s="1274"/>
    </row>
    <row r="35" spans="1:11">
      <c r="A35" s="1226">
        <f t="shared" si="2"/>
        <v>21</v>
      </c>
      <c r="B35" s="1283" t="s">
        <v>803</v>
      </c>
      <c r="C35" s="1229">
        <v>924</v>
      </c>
      <c r="D35" s="1306"/>
      <c r="E35" s="1306"/>
      <c r="F35" s="1306"/>
      <c r="G35" s="1306"/>
      <c r="H35" s="1239"/>
      <c r="I35" s="1227">
        <f t="shared" si="3"/>
        <v>0</v>
      </c>
      <c r="J35" s="1274"/>
      <c r="K35" s="1274"/>
    </row>
    <row r="36" spans="1:11">
      <c r="A36" s="1226">
        <f t="shared" si="2"/>
        <v>22</v>
      </c>
      <c r="B36" s="1283" t="s">
        <v>804</v>
      </c>
      <c r="C36" s="1229">
        <v>925</v>
      </c>
      <c r="D36" s="1306"/>
      <c r="E36" s="1306"/>
      <c r="F36" s="1306"/>
      <c r="G36" s="1306"/>
      <c r="H36" s="1239"/>
      <c r="I36" s="1227">
        <f t="shared" si="3"/>
        <v>0</v>
      </c>
      <c r="J36" s="1274"/>
      <c r="K36" s="1274"/>
    </row>
    <row r="37" spans="1:11">
      <c r="A37" s="1226">
        <f t="shared" si="2"/>
        <v>23</v>
      </c>
      <c r="B37" s="1283" t="s">
        <v>805</v>
      </c>
      <c r="C37" s="1229">
        <v>926</v>
      </c>
      <c r="D37" s="1306"/>
      <c r="E37" s="1306"/>
      <c r="F37" s="1306"/>
      <c r="G37" s="1306"/>
      <c r="H37" s="1239"/>
      <c r="I37" s="1227">
        <f t="shared" si="3"/>
        <v>0</v>
      </c>
      <c r="J37" s="1274"/>
      <c r="K37" s="1274"/>
    </row>
    <row r="38" spans="1:11">
      <c r="A38" s="1226">
        <f t="shared" si="2"/>
        <v>24</v>
      </c>
      <c r="B38" s="1283" t="s">
        <v>806</v>
      </c>
      <c r="C38" s="1229">
        <v>927</v>
      </c>
      <c r="D38" s="1306"/>
      <c r="E38" s="1306"/>
      <c r="F38" s="1306"/>
      <c r="G38" s="1306"/>
      <c r="H38" s="1239"/>
      <c r="I38" s="1227">
        <f t="shared" si="3"/>
        <v>0</v>
      </c>
      <c r="J38" s="1274"/>
      <c r="K38" s="1274"/>
    </row>
    <row r="39" spans="1:11">
      <c r="A39" s="1226">
        <f t="shared" si="2"/>
        <v>25</v>
      </c>
      <c r="B39" s="1283" t="s">
        <v>807</v>
      </c>
      <c r="C39" s="1229">
        <v>928</v>
      </c>
      <c r="D39" s="1306"/>
      <c r="E39" s="1306"/>
      <c r="F39" s="1306"/>
      <c r="G39" s="1306"/>
      <c r="H39" s="1239"/>
      <c r="I39" s="1227">
        <f t="shared" si="3"/>
        <v>0</v>
      </c>
      <c r="J39" s="1274"/>
      <c r="K39" s="1274"/>
    </row>
    <row r="40" spans="1:11">
      <c r="A40" s="1226">
        <f t="shared" si="2"/>
        <v>26</v>
      </c>
      <c r="B40" s="1283" t="s">
        <v>808</v>
      </c>
      <c r="C40" s="1229">
        <v>929</v>
      </c>
      <c r="D40" s="1306"/>
      <c r="E40" s="1306"/>
      <c r="F40" s="1306"/>
      <c r="G40" s="1306"/>
      <c r="H40" s="1239"/>
      <c r="I40" s="1227">
        <f t="shared" si="3"/>
        <v>0</v>
      </c>
      <c r="J40" s="1274"/>
      <c r="K40" s="1274"/>
    </row>
    <row r="41" spans="1:11">
      <c r="A41" s="1226">
        <f t="shared" si="2"/>
        <v>27</v>
      </c>
      <c r="B41" s="1283" t="s">
        <v>809</v>
      </c>
      <c r="C41" s="1229">
        <v>930.1</v>
      </c>
      <c r="D41" s="1306"/>
      <c r="E41" s="1306"/>
      <c r="F41" s="1306"/>
      <c r="G41" s="1306"/>
      <c r="H41" s="1239"/>
      <c r="I41" s="1227">
        <f t="shared" si="3"/>
        <v>0</v>
      </c>
      <c r="J41" s="1274"/>
      <c r="K41" s="1274"/>
    </row>
    <row r="42" spans="1:11">
      <c r="A42" s="1226">
        <f t="shared" si="2"/>
        <v>28</v>
      </c>
      <c r="B42" s="1283" t="s">
        <v>810</v>
      </c>
      <c r="C42" s="1229">
        <v>930.2</v>
      </c>
      <c r="D42" s="1306"/>
      <c r="E42" s="1306"/>
      <c r="F42" s="1306"/>
      <c r="G42" s="1306"/>
      <c r="H42" s="1239"/>
      <c r="I42" s="1227">
        <f t="shared" si="3"/>
        <v>0</v>
      </c>
      <c r="J42" s="1274"/>
      <c r="K42" s="1274"/>
    </row>
    <row r="43" spans="1:11">
      <c r="A43" s="1226">
        <f t="shared" si="2"/>
        <v>29</v>
      </c>
      <c r="B43" s="1283" t="s">
        <v>811</v>
      </c>
      <c r="C43" s="1229">
        <v>931</v>
      </c>
      <c r="D43" s="1306"/>
      <c r="E43" s="1306"/>
      <c r="F43" s="1306"/>
      <c r="G43" s="1306"/>
      <c r="H43" s="1239"/>
      <c r="I43" s="1227">
        <f t="shared" si="3"/>
        <v>0</v>
      </c>
      <c r="J43" s="1274"/>
      <c r="K43" s="1274"/>
    </row>
    <row r="44" spans="1:11">
      <c r="A44" s="1226">
        <f t="shared" si="2"/>
        <v>30</v>
      </c>
      <c r="B44" s="1283" t="s">
        <v>812</v>
      </c>
      <c r="C44" s="1229">
        <v>933</v>
      </c>
      <c r="D44" s="1306"/>
      <c r="E44" s="1306"/>
      <c r="F44" s="1306"/>
      <c r="G44" s="1306"/>
      <c r="H44" s="1239"/>
      <c r="I44" s="1227">
        <f t="shared" si="3"/>
        <v>0</v>
      </c>
      <c r="J44" s="1274"/>
      <c r="K44" s="1274"/>
    </row>
    <row r="45" spans="1:11">
      <c r="A45" s="1226">
        <f t="shared" si="2"/>
        <v>31</v>
      </c>
      <c r="B45" s="1283" t="s">
        <v>813</v>
      </c>
      <c r="C45" s="1229">
        <v>935</v>
      </c>
      <c r="D45" s="1306"/>
      <c r="E45" s="1306"/>
      <c r="F45" s="1306"/>
      <c r="G45" s="1306"/>
      <c r="H45" s="1239"/>
      <c r="I45" s="1227">
        <f t="shared" si="3"/>
        <v>0</v>
      </c>
      <c r="J45" s="1274"/>
      <c r="K45" s="1274"/>
    </row>
    <row r="46" spans="1:11">
      <c r="A46" s="1226">
        <f t="shared" si="2"/>
        <v>32</v>
      </c>
      <c r="B46" s="1283" t="s">
        <v>21</v>
      </c>
      <c r="C46" s="1283"/>
      <c r="D46" s="1308">
        <f>SUM(D31:D45)</f>
        <v>0</v>
      </c>
      <c r="E46" s="1308">
        <f>SUM(E31:E45)</f>
        <v>161267</v>
      </c>
      <c r="F46" s="1308">
        <f>SUM(F31:F45)</f>
        <v>0</v>
      </c>
      <c r="G46" s="1309"/>
      <c r="H46" s="1308">
        <f>SUM(H31:H45)</f>
        <v>0</v>
      </c>
      <c r="I46" s="1308">
        <f>SUM(I31:I45)</f>
        <v>161267</v>
      </c>
      <c r="J46" s="1274"/>
      <c r="K46" s="1274"/>
    </row>
    <row r="47" spans="1:11">
      <c r="A47" s="1226"/>
      <c r="B47" s="1283"/>
      <c r="C47" s="1283"/>
      <c r="D47" s="1283"/>
      <c r="E47" s="1283"/>
      <c r="F47" s="1283"/>
      <c r="G47" s="1283"/>
      <c r="H47" s="1274"/>
      <c r="I47" s="1308"/>
      <c r="J47" s="1274"/>
      <c r="K47" s="1274"/>
    </row>
    <row r="48" spans="1:11">
      <c r="A48" s="1226"/>
      <c r="B48" s="1631" t="s">
        <v>798</v>
      </c>
      <c r="C48" s="1631"/>
      <c r="D48" s="1631"/>
      <c r="E48" s="1631"/>
      <c r="F48" s="1283"/>
      <c r="G48" s="1283"/>
      <c r="H48" s="1274"/>
      <c r="I48" s="1308"/>
      <c r="J48" s="1274"/>
      <c r="K48" s="1274"/>
    </row>
    <row r="49" spans="1:11">
      <c r="A49" s="1226"/>
      <c r="B49" s="1283"/>
      <c r="C49" s="1283"/>
      <c r="D49" s="1283"/>
      <c r="E49" s="1283"/>
      <c r="F49" s="1283"/>
      <c r="G49" s="1283"/>
      <c r="H49" s="1274"/>
      <c r="I49" s="1308"/>
      <c r="J49" s="1274"/>
      <c r="K49" s="1274"/>
    </row>
    <row r="50" spans="1:11">
      <c r="A50" s="1226"/>
      <c r="B50" s="1283"/>
      <c r="C50" s="1283"/>
      <c r="D50" s="1283"/>
      <c r="E50" s="1283"/>
      <c r="F50" s="1283"/>
      <c r="G50" s="1283"/>
      <c r="H50" s="1274"/>
      <c r="I50" s="1308"/>
      <c r="J50" s="1274"/>
      <c r="K50" s="1274"/>
    </row>
    <row r="51" spans="1:11">
      <c r="A51" s="1270"/>
      <c r="B51" s="1283"/>
      <c r="C51" s="1283"/>
      <c r="D51" s="1283"/>
      <c r="E51" s="1283"/>
      <c r="F51" s="1283"/>
      <c r="G51" s="1283"/>
      <c r="H51" s="1274"/>
      <c r="I51" s="1308"/>
      <c r="J51" s="1274"/>
      <c r="K51" s="1274"/>
    </row>
    <row r="52" spans="1:11">
      <c r="A52" s="1270"/>
      <c r="F52" s="1270"/>
      <c r="G52" s="1270"/>
      <c r="H52" s="1274"/>
      <c r="I52" s="1308"/>
      <c r="J52" s="1274"/>
      <c r="K52" s="1274"/>
    </row>
    <row r="53" spans="1:11">
      <c r="A53" s="1274"/>
      <c r="B53" s="1290"/>
      <c r="C53" s="1289"/>
      <c r="D53" s="1289"/>
      <c r="E53" s="1289"/>
      <c r="F53" s="1274"/>
      <c r="G53" s="1274"/>
      <c r="H53" s="1274"/>
      <c r="I53" s="1308"/>
      <c r="J53" s="1274"/>
      <c r="K53" s="1274"/>
    </row>
    <row r="54" spans="1:11">
      <c r="A54" s="1274"/>
      <c r="B54" s="1290"/>
      <c r="C54" s="1289"/>
      <c r="D54" s="1289"/>
      <c r="E54" s="1289"/>
      <c r="F54" s="1274"/>
      <c r="G54" s="1274"/>
      <c r="H54" s="1274"/>
      <c r="I54" s="1308"/>
      <c r="J54" s="1274"/>
      <c r="K54" s="1274"/>
    </row>
    <row r="55" spans="1:11">
      <c r="A55" s="1274"/>
      <c r="B55" s="1289"/>
      <c r="C55" s="1289"/>
      <c r="D55" s="1289"/>
      <c r="E55" s="1289"/>
      <c r="F55" s="1274"/>
      <c r="G55" s="1274"/>
      <c r="H55" s="1274"/>
      <c r="I55" s="1308"/>
      <c r="J55" s="1274"/>
      <c r="K55" s="1274"/>
    </row>
    <row r="56" spans="1:11">
      <c r="A56" s="1274"/>
      <c r="B56" s="1274"/>
      <c r="C56" s="1274"/>
      <c r="D56" s="1274"/>
      <c r="E56" s="1274"/>
      <c r="F56" s="1274"/>
      <c r="G56" s="1274"/>
      <c r="H56" s="1274"/>
      <c r="I56" s="1308"/>
      <c r="J56" s="1274"/>
      <c r="K56" s="1274"/>
    </row>
    <row r="57" spans="1:11">
      <c r="A57" s="1274"/>
      <c r="B57" s="1274"/>
      <c r="C57" s="1274"/>
      <c r="D57" s="1274"/>
      <c r="E57" s="1274"/>
      <c r="F57" s="1274"/>
      <c r="G57" s="1274"/>
      <c r="H57" s="1274"/>
      <c r="I57" s="1308"/>
      <c r="J57" s="1274"/>
      <c r="K57" s="1274"/>
    </row>
    <row r="58" spans="1:11">
      <c r="A58" s="1274"/>
      <c r="B58" s="1274"/>
      <c r="C58" s="1274"/>
      <c r="D58" s="1274"/>
      <c r="E58" s="1274"/>
      <c r="F58" s="1274"/>
      <c r="G58" s="1274"/>
      <c r="H58" s="1274"/>
      <c r="I58" s="1308"/>
      <c r="J58" s="1274"/>
      <c r="K58" s="1274"/>
    </row>
    <row r="59" spans="1:11">
      <c r="A59" s="1274"/>
      <c r="B59" s="1274"/>
      <c r="C59" s="1274"/>
      <c r="D59" s="1274"/>
      <c r="E59" s="1274"/>
      <c r="F59" s="1274"/>
      <c r="G59" s="1274"/>
      <c r="H59" s="1274"/>
      <c r="I59" s="1308"/>
      <c r="J59" s="1274"/>
      <c r="K59" s="1274"/>
    </row>
    <row r="60" spans="1:11">
      <c r="A60" s="1274"/>
      <c r="B60" s="1274"/>
      <c r="C60" s="1274"/>
      <c r="D60" s="1274"/>
      <c r="E60" s="1274"/>
      <c r="F60" s="1274"/>
      <c r="G60" s="1274"/>
      <c r="H60" s="1274"/>
      <c r="I60" s="1308"/>
      <c r="J60" s="1274"/>
      <c r="K60" s="1274"/>
    </row>
    <row r="61" spans="1:11">
      <c r="A61" s="1274"/>
      <c r="B61" s="1274"/>
      <c r="C61" s="1274"/>
      <c r="D61" s="1274"/>
      <c r="E61" s="1274"/>
      <c r="F61" s="1274"/>
      <c r="G61" s="1274"/>
      <c r="H61" s="1274"/>
      <c r="I61" s="1308"/>
      <c r="J61" s="1274"/>
      <c r="K61" s="1274"/>
    </row>
  </sheetData>
  <mergeCells count="3">
    <mergeCell ref="A1:G1"/>
    <mergeCell ref="A2:G2"/>
    <mergeCell ref="B48:E48"/>
  </mergeCells>
  <pageMargins left="0.7" right="0.7" top="0.75" bottom="0.75" header="0.3" footer="0.3"/>
  <pageSetup paperSize="5" scale="8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O86"/>
  <sheetViews>
    <sheetView view="pageBreakPreview" zoomScale="60" zoomScaleNormal="100" workbookViewId="0">
      <selection sqref="A1:M1"/>
    </sheetView>
  </sheetViews>
  <sheetFormatPr defaultColWidth="8.77734375" defaultRowHeight="16.5"/>
  <cols>
    <col min="1" max="1" width="4.21875" style="1321" customWidth="1"/>
    <col min="2" max="2" width="16" style="1320" customWidth="1"/>
    <col min="3" max="3" width="9.21875" style="1320" bestFit="1" customWidth="1"/>
    <col min="4" max="4" width="12.77734375" style="1320" customWidth="1"/>
    <col min="5" max="5" width="10.21875" style="1320" customWidth="1"/>
    <col min="6" max="6" width="8.21875" style="1320" customWidth="1"/>
    <col min="7" max="7" width="10.21875" style="1320" customWidth="1"/>
    <col min="8" max="10" width="8.77734375" style="1320"/>
    <col min="11" max="11" width="9.44140625" style="1320" customWidth="1"/>
    <col min="12" max="14" width="8.77734375" style="1320"/>
    <col min="15" max="16384" width="8.77734375" style="1266"/>
  </cols>
  <sheetData>
    <row r="1" spans="1:15">
      <c r="A1" s="1632" t="s">
        <v>1029</v>
      </c>
      <c r="B1" s="1632"/>
      <c r="C1" s="1632"/>
      <c r="D1" s="1632"/>
      <c r="E1" s="1632"/>
      <c r="F1" s="1632"/>
      <c r="G1" s="1632"/>
      <c r="H1" s="1632"/>
      <c r="I1" s="1632"/>
      <c r="J1" s="1632"/>
      <c r="K1" s="1632"/>
      <c r="L1" s="1632"/>
      <c r="M1" s="1632"/>
    </row>
    <row r="2" spans="1:15">
      <c r="A2" s="1632" t="s">
        <v>959</v>
      </c>
      <c r="B2" s="1632"/>
      <c r="C2" s="1632"/>
      <c r="D2" s="1632"/>
      <c r="E2" s="1632"/>
      <c r="F2" s="1632"/>
      <c r="G2" s="1632"/>
      <c r="H2" s="1632"/>
      <c r="I2" s="1632"/>
      <c r="J2" s="1632"/>
      <c r="K2" s="1632"/>
      <c r="L2" s="1632"/>
      <c r="M2" s="1632"/>
    </row>
    <row r="5" spans="1:15">
      <c r="F5" s="1322"/>
      <c r="G5" s="1496" t="s">
        <v>1080</v>
      </c>
      <c r="H5" s="1323"/>
      <c r="O5" s="1274"/>
    </row>
    <row r="6" spans="1:15">
      <c r="B6" s="1324"/>
      <c r="C6" s="1324"/>
      <c r="D6" s="1325"/>
      <c r="E6" s="1325"/>
      <c r="F6" s="1325"/>
      <c r="G6" s="1481">
        <v>44195</v>
      </c>
      <c r="H6" s="1326"/>
      <c r="I6" s="1325"/>
      <c r="J6" s="1325"/>
      <c r="K6" s="1325"/>
      <c r="L6" s="1325"/>
      <c r="M6" s="1325"/>
      <c r="O6" s="1274"/>
    </row>
    <row r="7" spans="1:15">
      <c r="A7" s="1633" t="s">
        <v>830</v>
      </c>
      <c r="B7" s="1633"/>
      <c r="C7" s="1633"/>
      <c r="D7" s="1327"/>
      <c r="E7" s="1327"/>
      <c r="F7" s="1327"/>
      <c r="G7" s="1327"/>
      <c r="H7" s="1327"/>
      <c r="I7" s="1327"/>
      <c r="J7" s="1327"/>
      <c r="K7" s="1327"/>
      <c r="L7" s="1327"/>
      <c r="M7" s="1327"/>
      <c r="N7" s="1328"/>
      <c r="O7" s="1274"/>
    </row>
    <row r="8" spans="1:15">
      <c r="A8" s="1321" t="s">
        <v>661</v>
      </c>
      <c r="B8" s="1324"/>
      <c r="C8" s="1324"/>
      <c r="D8" s="1329" t="s">
        <v>928</v>
      </c>
      <c r="E8" s="1329" t="s">
        <v>600</v>
      </c>
      <c r="F8" s="1329" t="s">
        <v>600</v>
      </c>
      <c r="G8" s="1330" t="s">
        <v>21</v>
      </c>
      <c r="H8" s="1331"/>
      <c r="I8" s="1331"/>
      <c r="J8" s="1331"/>
      <c r="K8" s="1331"/>
      <c r="L8" s="1331"/>
      <c r="M8" s="1331"/>
      <c r="N8" s="1332"/>
      <c r="O8" s="1274"/>
    </row>
    <row r="9" spans="1:15">
      <c r="B9" s="1295" t="s">
        <v>816</v>
      </c>
      <c r="C9" s="1295"/>
      <c r="D9" s="1295"/>
      <c r="E9" s="1295"/>
      <c r="F9" s="1295"/>
      <c r="G9" s="1331"/>
      <c r="H9" s="1331"/>
      <c r="I9" s="1331"/>
      <c r="J9" s="1331"/>
      <c r="K9" s="1331"/>
      <c r="L9" s="1331"/>
      <c r="M9" s="1331"/>
      <c r="N9" s="1332"/>
      <c r="O9" s="1274"/>
    </row>
    <row r="10" spans="1:15">
      <c r="A10" s="1321">
        <v>1</v>
      </c>
      <c r="B10" s="1333" t="s">
        <v>925</v>
      </c>
      <c r="C10" s="1333"/>
      <c r="D10" s="1333"/>
      <c r="E10" s="1333"/>
      <c r="F10" s="1333"/>
      <c r="G10" s="1077">
        <f>+D10+E10+F10</f>
        <v>0</v>
      </c>
      <c r="H10" s="1331"/>
      <c r="I10" s="1331"/>
      <c r="J10" s="1331"/>
      <c r="K10" s="1331"/>
      <c r="L10" s="1331"/>
      <c r="M10" s="1331"/>
      <c r="N10" s="1332"/>
      <c r="O10" s="1274"/>
    </row>
    <row r="11" spans="1:15">
      <c r="A11" s="1321" t="s">
        <v>313</v>
      </c>
      <c r="B11" s="1333" t="s">
        <v>926</v>
      </c>
      <c r="C11" s="1334"/>
      <c r="D11" s="1335"/>
      <c r="E11" s="1335"/>
      <c r="F11" s="1335"/>
      <c r="G11" s="1077">
        <f t="shared" ref="G11:G25" si="0">+D11+E11+F11</f>
        <v>0</v>
      </c>
      <c r="H11" s="1327"/>
      <c r="I11" s="1327"/>
      <c r="J11" s="1327"/>
      <c r="K11" s="1327"/>
      <c r="L11" s="1327"/>
      <c r="M11" s="1331"/>
      <c r="N11" s="1336"/>
      <c r="O11" s="1274"/>
    </row>
    <row r="12" spans="1:15">
      <c r="A12" s="1321" t="s">
        <v>880</v>
      </c>
      <c r="B12" s="1333" t="s">
        <v>927</v>
      </c>
      <c r="C12" s="1337"/>
      <c r="D12" s="1338"/>
      <c r="E12" s="1338"/>
      <c r="F12" s="1338"/>
      <c r="G12" s="1077">
        <f t="shared" si="0"/>
        <v>0</v>
      </c>
      <c r="H12" s="1339"/>
      <c r="I12" s="1339"/>
      <c r="J12" s="1339"/>
      <c r="K12" s="1339"/>
      <c r="L12" s="1339"/>
      <c r="M12" s="1331"/>
      <c r="N12" s="1336"/>
      <c r="O12" s="1274"/>
    </row>
    <row r="13" spans="1:15">
      <c r="A13" s="1321" t="s">
        <v>881</v>
      </c>
      <c r="B13" s="1333" t="s">
        <v>929</v>
      </c>
      <c r="C13" s="1337"/>
      <c r="D13" s="1333"/>
      <c r="E13" s="1333"/>
      <c r="F13" s="1333"/>
      <c r="G13" s="1077">
        <f t="shared" si="0"/>
        <v>0</v>
      </c>
      <c r="H13" s="1331"/>
      <c r="I13" s="1331"/>
      <c r="J13" s="1331"/>
      <c r="K13" s="1331"/>
      <c r="L13" s="1331"/>
      <c r="M13" s="1331"/>
      <c r="N13" s="1336"/>
      <c r="O13" s="1274"/>
    </row>
    <row r="14" spans="1:15">
      <c r="A14" s="1321" t="s">
        <v>382</v>
      </c>
      <c r="B14" s="1333" t="s">
        <v>930</v>
      </c>
      <c r="C14" s="1337"/>
      <c r="D14" s="1333"/>
      <c r="E14" s="1333"/>
      <c r="F14" s="1333"/>
      <c r="G14" s="1077">
        <f t="shared" si="0"/>
        <v>0</v>
      </c>
      <c r="H14" s="1331"/>
      <c r="I14" s="1331"/>
      <c r="J14" s="1331"/>
      <c r="K14" s="1331"/>
      <c r="L14" s="1331"/>
      <c r="M14" s="1331"/>
      <c r="N14" s="1336"/>
      <c r="O14" s="1274"/>
    </row>
    <row r="15" spans="1:15">
      <c r="A15" s="1321" t="s">
        <v>382</v>
      </c>
      <c r="B15" s="1333"/>
      <c r="C15" s="1337"/>
      <c r="D15" s="1333"/>
      <c r="E15" s="1333"/>
      <c r="F15" s="1333"/>
      <c r="G15" s="1077">
        <f t="shared" si="0"/>
        <v>0</v>
      </c>
      <c r="H15" s="1331"/>
      <c r="I15" s="1331"/>
      <c r="J15" s="1331"/>
      <c r="K15" s="1331"/>
      <c r="L15" s="1331"/>
      <c r="M15" s="1331"/>
      <c r="N15" s="1336"/>
      <c r="O15" s="1274"/>
    </row>
    <row r="16" spans="1:15">
      <c r="A16" s="1321" t="s">
        <v>382</v>
      </c>
      <c r="B16" s="1333"/>
      <c r="C16" s="1337"/>
      <c r="D16" s="1333"/>
      <c r="E16" s="1333"/>
      <c r="F16" s="1333"/>
      <c r="G16" s="1077">
        <f t="shared" si="0"/>
        <v>0</v>
      </c>
      <c r="H16" s="1331"/>
      <c r="I16" s="1331"/>
      <c r="J16" s="1331"/>
      <c r="K16" s="1331"/>
      <c r="L16" s="1331"/>
      <c r="M16" s="1331"/>
      <c r="N16" s="1336"/>
      <c r="O16" s="1274"/>
    </row>
    <row r="17" spans="1:15">
      <c r="A17" s="1321" t="s">
        <v>382</v>
      </c>
      <c r="B17" s="1333"/>
      <c r="C17" s="1337"/>
      <c r="D17" s="1333"/>
      <c r="E17" s="1333"/>
      <c r="F17" s="1333"/>
      <c r="G17" s="1077">
        <f t="shared" si="0"/>
        <v>0</v>
      </c>
      <c r="H17" s="1331"/>
      <c r="I17" s="1331"/>
      <c r="J17" s="1331"/>
      <c r="K17" s="1331"/>
      <c r="L17" s="1331"/>
      <c r="M17" s="1331"/>
      <c r="N17" s="1336"/>
      <c r="O17" s="1274"/>
    </row>
    <row r="18" spans="1:15">
      <c r="A18" s="1321" t="s">
        <v>382</v>
      </c>
      <c r="B18" s="1333"/>
      <c r="C18" s="1337"/>
      <c r="D18" s="1333"/>
      <c r="E18" s="1333"/>
      <c r="F18" s="1333"/>
      <c r="G18" s="1077">
        <f t="shared" si="0"/>
        <v>0</v>
      </c>
      <c r="H18" s="1331"/>
      <c r="I18" s="1331"/>
      <c r="J18" s="1331"/>
      <c r="K18" s="1331"/>
      <c r="L18" s="1331"/>
      <c r="M18" s="1331"/>
      <c r="N18" s="1336"/>
      <c r="O18" s="1274"/>
    </row>
    <row r="19" spans="1:15">
      <c r="A19" s="1321" t="s">
        <v>382</v>
      </c>
      <c r="B19" s="1333"/>
      <c r="C19" s="1337"/>
      <c r="D19" s="1333"/>
      <c r="E19" s="1333"/>
      <c r="F19" s="1333"/>
      <c r="G19" s="1077">
        <f t="shared" si="0"/>
        <v>0</v>
      </c>
      <c r="H19" s="1331"/>
      <c r="I19" s="1331"/>
      <c r="J19" s="1331"/>
      <c r="K19" s="1331"/>
      <c r="L19" s="1331"/>
      <c r="M19" s="1331"/>
      <c r="N19" s="1336"/>
      <c r="O19" s="1274"/>
    </row>
    <row r="20" spans="1:15">
      <c r="A20" s="1321" t="s">
        <v>382</v>
      </c>
      <c r="B20" s="1333"/>
      <c r="C20" s="1337"/>
      <c r="D20" s="1333"/>
      <c r="E20" s="1333"/>
      <c r="F20" s="1333"/>
      <c r="G20" s="1077">
        <f t="shared" si="0"/>
        <v>0</v>
      </c>
      <c r="H20" s="1331"/>
      <c r="I20" s="1331"/>
      <c r="J20" s="1331"/>
      <c r="K20" s="1331"/>
      <c r="L20" s="1331"/>
      <c r="M20" s="1331"/>
      <c r="N20" s="1336"/>
      <c r="O20" s="1274"/>
    </row>
    <row r="21" spans="1:15">
      <c r="A21" s="1321" t="s">
        <v>382</v>
      </c>
      <c r="B21" s="1333"/>
      <c r="C21" s="1337"/>
      <c r="D21" s="1333"/>
      <c r="E21" s="1333"/>
      <c r="F21" s="1333"/>
      <c r="G21" s="1077">
        <f t="shared" si="0"/>
        <v>0</v>
      </c>
      <c r="H21" s="1331"/>
      <c r="I21" s="1331"/>
      <c r="J21" s="1331"/>
      <c r="K21" s="1331"/>
      <c r="L21" s="1331"/>
      <c r="M21" s="1331"/>
      <c r="N21" s="1336"/>
      <c r="O21" s="1274"/>
    </row>
    <row r="22" spans="1:15">
      <c r="A22" s="1321" t="s">
        <v>382</v>
      </c>
      <c r="B22" s="1333"/>
      <c r="C22" s="1337"/>
      <c r="D22" s="1333"/>
      <c r="E22" s="1333"/>
      <c r="F22" s="1333"/>
      <c r="G22" s="1077">
        <f t="shared" si="0"/>
        <v>0</v>
      </c>
      <c r="H22" s="1331"/>
      <c r="I22" s="1331"/>
      <c r="J22" s="1331"/>
      <c r="K22" s="1331"/>
      <c r="L22" s="1331"/>
      <c r="M22" s="1331"/>
      <c r="N22" s="1336"/>
      <c r="O22" s="1274"/>
    </row>
    <row r="23" spans="1:15">
      <c r="A23" s="1321" t="s">
        <v>382</v>
      </c>
      <c r="B23" s="1333"/>
      <c r="C23" s="1337"/>
      <c r="D23" s="1333"/>
      <c r="E23" s="1333"/>
      <c r="F23" s="1333"/>
      <c r="G23" s="1077">
        <f t="shared" si="0"/>
        <v>0</v>
      </c>
      <c r="H23" s="1331"/>
      <c r="I23" s="1331"/>
      <c r="J23" s="1331"/>
      <c r="K23" s="1331"/>
      <c r="L23" s="1331"/>
      <c r="M23" s="1331"/>
      <c r="N23" s="1336"/>
      <c r="O23" s="1274"/>
    </row>
    <row r="24" spans="1:15">
      <c r="B24" s="1333"/>
      <c r="C24" s="1337"/>
      <c r="D24" s="1333"/>
      <c r="E24" s="1333"/>
      <c r="F24" s="1333"/>
      <c r="G24" s="1077">
        <f t="shared" si="0"/>
        <v>0</v>
      </c>
      <c r="H24" s="1331"/>
      <c r="I24" s="1331"/>
      <c r="J24" s="1331"/>
      <c r="K24" s="1331"/>
      <c r="L24" s="1331"/>
      <c r="M24" s="1331"/>
      <c r="N24" s="1336"/>
      <c r="O24" s="1274"/>
    </row>
    <row r="25" spans="1:15">
      <c r="A25" s="1321" t="s">
        <v>316</v>
      </c>
      <c r="B25" s="1333"/>
      <c r="C25" s="1337"/>
      <c r="D25" s="1333"/>
      <c r="E25" s="1333"/>
      <c r="F25" s="1333"/>
      <c r="G25" s="1077">
        <f t="shared" si="0"/>
        <v>0</v>
      </c>
      <c r="H25" s="1331"/>
      <c r="I25" s="1331"/>
      <c r="J25" s="1331"/>
      <c r="K25" s="1331"/>
      <c r="L25" s="1331"/>
      <c r="M25" s="1331"/>
      <c r="N25" s="1336"/>
      <c r="O25" s="1274"/>
    </row>
    <row r="26" spans="1:15">
      <c r="A26" s="1321">
        <v>2</v>
      </c>
      <c r="B26" s="1340" t="s">
        <v>957</v>
      </c>
      <c r="C26" s="1341"/>
      <c r="D26" s="1077"/>
      <c r="E26" s="1077"/>
      <c r="F26" s="1077"/>
      <c r="G26" s="1077">
        <f>SUM(G9:G25)</f>
        <v>0</v>
      </c>
      <c r="H26" s="1331"/>
      <c r="I26" s="1331"/>
      <c r="J26" s="1331"/>
      <c r="K26" s="1331"/>
      <c r="L26" s="1331"/>
      <c r="M26" s="1331"/>
      <c r="N26" s="1336"/>
      <c r="O26" s="1274"/>
    </row>
    <row r="27" spans="1:15">
      <c r="B27" s="1324"/>
      <c r="C27" s="1342"/>
      <c r="D27" s="1331"/>
      <c r="E27" s="1331"/>
      <c r="F27" s="1331"/>
      <c r="G27" s="1331"/>
      <c r="H27" s="1331"/>
      <c r="I27" s="1331"/>
      <c r="J27" s="1331"/>
      <c r="K27" s="1331"/>
      <c r="L27" s="1331"/>
      <c r="M27" s="1331"/>
      <c r="N27" s="1336"/>
      <c r="O27" s="1274"/>
    </row>
    <row r="28" spans="1:15">
      <c r="B28" s="1324"/>
      <c r="C28" s="1342"/>
      <c r="D28" s="1331"/>
      <c r="E28" s="1331"/>
      <c r="F28" s="1331"/>
      <c r="G28" s="1331"/>
      <c r="H28" s="1331"/>
      <c r="I28" s="1331"/>
      <c r="J28" s="1331"/>
      <c r="K28" s="1331"/>
      <c r="L28" s="1331"/>
      <c r="M28" s="1331"/>
      <c r="N28" s="1336"/>
      <c r="O28" s="1274"/>
    </row>
    <row r="29" spans="1:15">
      <c r="B29" s="1324" t="s">
        <v>815</v>
      </c>
      <c r="C29" s="1324"/>
      <c r="D29" s="1324"/>
      <c r="E29" s="1324"/>
      <c r="F29" s="1324"/>
      <c r="G29" s="1324"/>
      <c r="H29" s="1324"/>
      <c r="I29" s="1324"/>
      <c r="J29" s="1324"/>
      <c r="K29" s="1324"/>
      <c r="L29" s="1324"/>
      <c r="M29" s="1324"/>
      <c r="O29" s="1274"/>
    </row>
    <row r="30" spans="1:15">
      <c r="B30" s="1324"/>
      <c r="C30" s="1324"/>
      <c r="D30" s="1324"/>
      <c r="E30" s="1324"/>
      <c r="F30" s="1324"/>
      <c r="G30" s="1324"/>
      <c r="H30" s="1324"/>
      <c r="I30" s="1324"/>
      <c r="J30" s="1324"/>
      <c r="K30" s="1324"/>
      <c r="L30" s="1324"/>
      <c r="M30" s="1324"/>
      <c r="O30" s="1274"/>
    </row>
    <row r="31" spans="1:15">
      <c r="B31" s="1324"/>
      <c r="C31" s="1324"/>
      <c r="D31" s="1324"/>
      <c r="E31" s="1324"/>
      <c r="F31" s="1324"/>
      <c r="G31" s="1324"/>
      <c r="H31" s="1324"/>
      <c r="I31" s="1324"/>
      <c r="J31" s="1324"/>
      <c r="K31" s="1324"/>
      <c r="L31" s="1324"/>
      <c r="M31" s="1324"/>
      <c r="O31" s="1274"/>
    </row>
    <row r="32" spans="1:15">
      <c r="A32" s="1634" t="s">
        <v>667</v>
      </c>
      <c r="B32" s="1634"/>
      <c r="C32" s="1634"/>
      <c r="D32" s="1324"/>
      <c r="E32" s="1324"/>
      <c r="F32" s="1324"/>
      <c r="G32" s="1324"/>
      <c r="H32" s="1324"/>
      <c r="I32" s="1324"/>
      <c r="J32" s="1324"/>
      <c r="K32" s="1324"/>
      <c r="L32" s="1324"/>
      <c r="M32" s="1324"/>
      <c r="O32" s="1274"/>
    </row>
    <row r="33" spans="1:15">
      <c r="B33" s="1324"/>
      <c r="C33" s="1324"/>
      <c r="D33" s="1324"/>
      <c r="E33" s="1324"/>
      <c r="F33" s="1324"/>
      <c r="G33" s="1324"/>
      <c r="H33" s="1324"/>
      <c r="I33" s="1324"/>
      <c r="J33" s="1324"/>
      <c r="K33" s="1324"/>
      <c r="L33" s="1324"/>
      <c r="M33" s="1324"/>
      <c r="O33" s="1274"/>
    </row>
    <row r="34" spans="1:15">
      <c r="B34" s="1324"/>
      <c r="C34" s="1324"/>
      <c r="D34" s="1324"/>
      <c r="E34" s="1324"/>
      <c r="F34" s="1324"/>
      <c r="G34" s="1324"/>
      <c r="H34" s="1324"/>
      <c r="I34" s="1324"/>
      <c r="J34" s="1324"/>
      <c r="K34" s="1324"/>
      <c r="L34" s="1324"/>
      <c r="M34" s="1324"/>
      <c r="O34" s="1274"/>
    </row>
    <row r="35" spans="1:15">
      <c r="B35" s="1324" t="s">
        <v>600</v>
      </c>
      <c r="C35" s="1343">
        <v>350</v>
      </c>
      <c r="D35" s="1343">
        <v>352</v>
      </c>
      <c r="E35" s="1343">
        <v>352</v>
      </c>
      <c r="F35" s="1343">
        <v>353</v>
      </c>
      <c r="G35" s="1343">
        <v>354</v>
      </c>
      <c r="H35" s="1343">
        <v>355</v>
      </c>
      <c r="I35" s="1343">
        <v>356</v>
      </c>
      <c r="J35" s="1343">
        <v>357</v>
      </c>
      <c r="K35" s="1343">
        <v>358</v>
      </c>
      <c r="L35" s="1343">
        <v>359</v>
      </c>
      <c r="M35" s="1344"/>
      <c r="O35" s="1274"/>
    </row>
    <row r="36" spans="1:15" ht="49.5">
      <c r="B36" s="1324"/>
      <c r="C36" s="1345" t="s">
        <v>668</v>
      </c>
      <c r="D36" s="1345" t="s">
        <v>669</v>
      </c>
      <c r="E36" s="1345" t="s">
        <v>670</v>
      </c>
      <c r="F36" s="1345" t="s">
        <v>671</v>
      </c>
      <c r="G36" s="1345" t="s">
        <v>672</v>
      </c>
      <c r="H36" s="1345" t="s">
        <v>673</v>
      </c>
      <c r="I36" s="1345" t="s">
        <v>674</v>
      </c>
      <c r="J36" s="1345" t="s">
        <v>675</v>
      </c>
      <c r="K36" s="1345" t="s">
        <v>676</v>
      </c>
      <c r="L36" s="1345" t="s">
        <v>677</v>
      </c>
      <c r="M36" s="1345" t="s">
        <v>21</v>
      </c>
      <c r="O36" s="1274"/>
    </row>
    <row r="37" spans="1:15">
      <c r="A37" s="1321">
        <v>3</v>
      </c>
      <c r="B37" s="1324" t="s">
        <v>928</v>
      </c>
      <c r="C37" s="1338"/>
      <c r="D37" s="1338"/>
      <c r="E37" s="1338"/>
      <c r="F37" s="1338"/>
      <c r="G37" s="1338"/>
      <c r="H37" s="1338"/>
      <c r="I37" s="1338"/>
      <c r="J37" s="1338"/>
      <c r="K37" s="1338"/>
      <c r="L37" s="1338"/>
      <c r="M37" s="1336">
        <f t="shared" ref="M37:M53" si="1">SUM(C37:L37)</f>
        <v>0</v>
      </c>
      <c r="O37" s="1274"/>
    </row>
    <row r="38" spans="1:15">
      <c r="A38" s="1321" t="s">
        <v>882</v>
      </c>
      <c r="B38" s="1324" t="s">
        <v>666</v>
      </c>
      <c r="C38" s="1333"/>
      <c r="D38" s="1333"/>
      <c r="E38" s="1333"/>
      <c r="F38" s="1333"/>
      <c r="G38" s="1333"/>
      <c r="H38" s="1333"/>
      <c r="I38" s="1333"/>
      <c r="J38" s="1333"/>
      <c r="K38" s="1333"/>
      <c r="L38" s="1333"/>
      <c r="M38" s="1336">
        <f t="shared" si="1"/>
        <v>0</v>
      </c>
      <c r="O38" s="1274"/>
    </row>
    <row r="39" spans="1:15">
      <c r="A39" s="1321" t="s">
        <v>883</v>
      </c>
      <c r="B39" s="1324"/>
      <c r="C39" s="1333"/>
      <c r="D39" s="1333"/>
      <c r="E39" s="1333"/>
      <c r="F39" s="1333"/>
      <c r="G39" s="1333"/>
      <c r="H39" s="1333"/>
      <c r="I39" s="1333"/>
      <c r="J39" s="1333"/>
      <c r="K39" s="1333"/>
      <c r="L39" s="1333"/>
      <c r="M39" s="1336">
        <f t="shared" si="1"/>
        <v>0</v>
      </c>
      <c r="O39" s="1274"/>
    </row>
    <row r="40" spans="1:15">
      <c r="A40" s="1321" t="s">
        <v>884</v>
      </c>
      <c r="B40" s="1324"/>
      <c r="C40" s="1333"/>
      <c r="D40" s="1333"/>
      <c r="E40" s="1333"/>
      <c r="F40" s="1333"/>
      <c r="G40" s="1333"/>
      <c r="H40" s="1333"/>
      <c r="I40" s="1333"/>
      <c r="J40" s="1333"/>
      <c r="K40" s="1333"/>
      <c r="L40" s="1333"/>
      <c r="M40" s="1336">
        <f t="shared" si="1"/>
        <v>0</v>
      </c>
      <c r="O40" s="1274"/>
    </row>
    <row r="41" spans="1:15">
      <c r="A41" s="1321" t="s">
        <v>382</v>
      </c>
      <c r="B41" s="1324"/>
      <c r="C41" s="1333"/>
      <c r="D41" s="1333"/>
      <c r="E41" s="1333"/>
      <c r="F41" s="1333"/>
      <c r="G41" s="1333"/>
      <c r="H41" s="1333"/>
      <c r="I41" s="1333"/>
      <c r="J41" s="1333"/>
      <c r="K41" s="1333"/>
      <c r="L41" s="1333"/>
      <c r="M41" s="1336">
        <f t="shared" si="1"/>
        <v>0</v>
      </c>
      <c r="O41" s="1274"/>
    </row>
    <row r="42" spans="1:15">
      <c r="A42" s="1321" t="s">
        <v>382</v>
      </c>
      <c r="B42" s="1324"/>
      <c r="C42" s="1333"/>
      <c r="D42" s="1333"/>
      <c r="E42" s="1333"/>
      <c r="F42" s="1333"/>
      <c r="G42" s="1333"/>
      <c r="H42" s="1333"/>
      <c r="I42" s="1333"/>
      <c r="J42" s="1333"/>
      <c r="K42" s="1333"/>
      <c r="L42" s="1333"/>
      <c r="M42" s="1336">
        <f t="shared" si="1"/>
        <v>0</v>
      </c>
      <c r="O42" s="1274"/>
    </row>
    <row r="43" spans="1:15">
      <c r="A43" s="1321" t="s">
        <v>382</v>
      </c>
      <c r="B43" s="1324"/>
      <c r="C43" s="1333"/>
      <c r="D43" s="1333"/>
      <c r="E43" s="1333"/>
      <c r="F43" s="1333"/>
      <c r="G43" s="1333"/>
      <c r="H43" s="1333"/>
      <c r="I43" s="1333"/>
      <c r="J43" s="1333"/>
      <c r="K43" s="1333"/>
      <c r="L43" s="1333"/>
      <c r="M43" s="1336">
        <f t="shared" si="1"/>
        <v>0</v>
      </c>
      <c r="O43" s="1274"/>
    </row>
    <row r="44" spans="1:15">
      <c r="A44" s="1321" t="s">
        <v>382</v>
      </c>
      <c r="B44" s="1324"/>
      <c r="C44" s="1333"/>
      <c r="D44" s="1333"/>
      <c r="E44" s="1333"/>
      <c r="F44" s="1333"/>
      <c r="G44" s="1333"/>
      <c r="H44" s="1333"/>
      <c r="I44" s="1333"/>
      <c r="J44" s="1333"/>
      <c r="K44" s="1333"/>
      <c r="L44" s="1333"/>
      <c r="M44" s="1336">
        <f t="shared" si="1"/>
        <v>0</v>
      </c>
      <c r="O44" s="1274"/>
    </row>
    <row r="45" spans="1:15">
      <c r="A45" s="1321" t="s">
        <v>382</v>
      </c>
      <c r="B45" s="1324"/>
      <c r="C45" s="1333"/>
      <c r="D45" s="1333"/>
      <c r="E45" s="1333"/>
      <c r="F45" s="1333"/>
      <c r="G45" s="1333"/>
      <c r="H45" s="1333"/>
      <c r="I45" s="1333"/>
      <c r="J45" s="1333"/>
      <c r="K45" s="1333"/>
      <c r="L45" s="1333"/>
      <c r="M45" s="1336">
        <f t="shared" si="1"/>
        <v>0</v>
      </c>
      <c r="O45" s="1274"/>
    </row>
    <row r="46" spans="1:15">
      <c r="A46" s="1321" t="s">
        <v>382</v>
      </c>
      <c r="B46" s="1324"/>
      <c r="C46" s="1333"/>
      <c r="D46" s="1333"/>
      <c r="E46" s="1333"/>
      <c r="F46" s="1333"/>
      <c r="G46" s="1333"/>
      <c r="H46" s="1333"/>
      <c r="I46" s="1333"/>
      <c r="J46" s="1333"/>
      <c r="K46" s="1333"/>
      <c r="L46" s="1333"/>
      <c r="M46" s="1336">
        <f t="shared" si="1"/>
        <v>0</v>
      </c>
      <c r="O46" s="1274"/>
    </row>
    <row r="47" spans="1:15">
      <c r="A47" s="1321" t="s">
        <v>382</v>
      </c>
      <c r="B47" s="1324"/>
      <c r="C47" s="1333"/>
      <c r="D47" s="1333"/>
      <c r="E47" s="1333"/>
      <c r="F47" s="1333"/>
      <c r="G47" s="1333"/>
      <c r="H47" s="1333"/>
      <c r="I47" s="1333"/>
      <c r="J47" s="1333"/>
      <c r="K47" s="1333"/>
      <c r="L47" s="1333"/>
      <c r="M47" s="1336">
        <f t="shared" si="1"/>
        <v>0</v>
      </c>
      <c r="O47" s="1274"/>
    </row>
    <row r="48" spans="1:15">
      <c r="A48" s="1321" t="s">
        <v>382</v>
      </c>
      <c r="B48" s="1324"/>
      <c r="C48" s="1333"/>
      <c r="D48" s="1333"/>
      <c r="E48" s="1333"/>
      <c r="F48" s="1333"/>
      <c r="G48" s="1333"/>
      <c r="H48" s="1333"/>
      <c r="I48" s="1333"/>
      <c r="J48" s="1333"/>
      <c r="K48" s="1333"/>
      <c r="L48" s="1333"/>
      <c r="M48" s="1336">
        <f t="shared" si="1"/>
        <v>0</v>
      </c>
      <c r="O48" s="1274"/>
    </row>
    <row r="49" spans="1:15">
      <c r="A49" s="1321" t="s">
        <v>382</v>
      </c>
      <c r="B49" s="1324"/>
      <c r="C49" s="1333"/>
      <c r="D49" s="1333"/>
      <c r="E49" s="1333"/>
      <c r="F49" s="1333"/>
      <c r="G49" s="1333"/>
      <c r="H49" s="1333"/>
      <c r="I49" s="1333"/>
      <c r="J49" s="1333"/>
      <c r="K49" s="1333"/>
      <c r="L49" s="1333"/>
      <c r="M49" s="1336">
        <f t="shared" si="1"/>
        <v>0</v>
      </c>
      <c r="O49" s="1274"/>
    </row>
    <row r="50" spans="1:15">
      <c r="B50" s="1324"/>
      <c r="C50" s="1333"/>
      <c r="D50" s="1333"/>
      <c r="E50" s="1333"/>
      <c r="F50" s="1333"/>
      <c r="G50" s="1333"/>
      <c r="H50" s="1333"/>
      <c r="I50" s="1333"/>
      <c r="J50" s="1333"/>
      <c r="K50" s="1333"/>
      <c r="L50" s="1333"/>
      <c r="M50" s="1336">
        <f t="shared" si="1"/>
        <v>0</v>
      </c>
      <c r="O50" s="1274"/>
    </row>
    <row r="51" spans="1:15">
      <c r="B51" s="1324"/>
      <c r="C51" s="1333"/>
      <c r="D51" s="1333"/>
      <c r="E51" s="1333"/>
      <c r="F51" s="1333"/>
      <c r="G51" s="1333"/>
      <c r="H51" s="1333"/>
      <c r="I51" s="1333"/>
      <c r="J51" s="1333"/>
      <c r="K51" s="1333"/>
      <c r="L51" s="1333"/>
      <c r="M51" s="1336">
        <f t="shared" si="1"/>
        <v>0</v>
      </c>
      <c r="O51" s="1274"/>
    </row>
    <row r="52" spans="1:15">
      <c r="B52" s="1324"/>
      <c r="C52" s="1333"/>
      <c r="D52" s="1333"/>
      <c r="E52" s="1333"/>
      <c r="F52" s="1333"/>
      <c r="G52" s="1333"/>
      <c r="H52" s="1333"/>
      <c r="I52" s="1333"/>
      <c r="J52" s="1333"/>
      <c r="K52" s="1333"/>
      <c r="L52" s="1333"/>
      <c r="M52" s="1336">
        <f t="shared" si="1"/>
        <v>0</v>
      </c>
      <c r="O52" s="1274"/>
    </row>
    <row r="53" spans="1:15">
      <c r="A53" s="1321" t="s">
        <v>885</v>
      </c>
      <c r="B53" s="1324"/>
      <c r="C53" s="1333"/>
      <c r="D53" s="1333"/>
      <c r="E53" s="1333"/>
      <c r="F53" s="1333"/>
      <c r="G53" s="1333"/>
      <c r="H53" s="1333"/>
      <c r="I53" s="1333"/>
      <c r="J53" s="1333"/>
      <c r="K53" s="1333"/>
      <c r="L53" s="1333"/>
      <c r="M53" s="1336">
        <f t="shared" si="1"/>
        <v>0</v>
      </c>
      <c r="O53" s="1274"/>
    </row>
    <row r="54" spans="1:15">
      <c r="A54" s="1321">
        <v>4</v>
      </c>
      <c r="B54" s="1320" t="s">
        <v>958</v>
      </c>
      <c r="C54" s="1340"/>
      <c r="D54" s="1340"/>
      <c r="E54" s="1340"/>
      <c r="F54" s="1340"/>
      <c r="G54" s="1340"/>
      <c r="H54" s="1340"/>
      <c r="I54" s="1340"/>
      <c r="J54" s="1340"/>
      <c r="K54" s="1340"/>
      <c r="L54" s="1340"/>
      <c r="M54" s="1340">
        <f>SUM(M37:M53)</f>
        <v>0</v>
      </c>
      <c r="O54" s="1274"/>
    </row>
    <row r="55" spans="1:15">
      <c r="C55" s="1340"/>
      <c r="D55" s="1340"/>
      <c r="E55" s="1340"/>
      <c r="F55" s="1340"/>
      <c r="G55" s="1340"/>
      <c r="H55" s="1340"/>
      <c r="I55" s="1340"/>
      <c r="J55" s="1340"/>
      <c r="K55" s="1340"/>
      <c r="L55" s="1340"/>
      <c r="M55" s="1340"/>
      <c r="O55" s="1274"/>
    </row>
    <row r="56" spans="1:15">
      <c r="C56" s="1340"/>
      <c r="D56" s="1340"/>
      <c r="E56" s="1340"/>
      <c r="F56" s="1340"/>
      <c r="G56" s="1340"/>
      <c r="H56" s="1340"/>
      <c r="I56" s="1340"/>
      <c r="J56" s="1340"/>
      <c r="K56" s="1340"/>
      <c r="L56" s="1340"/>
      <c r="M56" s="1340"/>
      <c r="O56" s="1274"/>
    </row>
    <row r="57" spans="1:15">
      <c r="O57" s="1274"/>
    </row>
    <row r="58" spans="1:15">
      <c r="O58" s="1274"/>
    </row>
    <row r="59" spans="1:15">
      <c r="O59" s="1274"/>
    </row>
    <row r="60" spans="1:15">
      <c r="O60" s="1274"/>
    </row>
    <row r="61" spans="1:15">
      <c r="O61" s="1274"/>
    </row>
    <row r="62" spans="1:15">
      <c r="O62" s="1274"/>
    </row>
    <row r="63" spans="1:15">
      <c r="O63" s="1274"/>
    </row>
    <row r="64" spans="1:15">
      <c r="O64" s="1274"/>
    </row>
    <row r="65" spans="15:15">
      <c r="O65" s="1274"/>
    </row>
    <row r="66" spans="15:15">
      <c r="O66" s="1274"/>
    </row>
    <row r="67" spans="15:15">
      <c r="O67" s="1274"/>
    </row>
    <row r="68" spans="15:15">
      <c r="O68" s="1274"/>
    </row>
    <row r="69" spans="15:15">
      <c r="O69" s="1274"/>
    </row>
    <row r="70" spans="15:15">
      <c r="O70" s="1274"/>
    </row>
    <row r="71" spans="15:15">
      <c r="O71" s="1274"/>
    </row>
    <row r="72" spans="15:15">
      <c r="O72" s="1274"/>
    </row>
    <row r="73" spans="15:15">
      <c r="O73" s="1274"/>
    </row>
    <row r="74" spans="15:15">
      <c r="O74" s="1274"/>
    </row>
    <row r="75" spans="15:15">
      <c r="O75" s="1274"/>
    </row>
    <row r="76" spans="15:15">
      <c r="O76" s="1274"/>
    </row>
    <row r="77" spans="15:15">
      <c r="O77" s="1274"/>
    </row>
    <row r="78" spans="15:15">
      <c r="O78" s="1274"/>
    </row>
    <row r="79" spans="15:15">
      <c r="O79" s="1274"/>
    </row>
    <row r="80" spans="15:15">
      <c r="O80" s="1274"/>
    </row>
    <row r="81" spans="15:15">
      <c r="O81" s="1274"/>
    </row>
    <row r="82" spans="15:15">
      <c r="O82" s="1274"/>
    </row>
    <row r="83" spans="15:15">
      <c r="O83" s="1274"/>
    </row>
    <row r="84" spans="15:15">
      <c r="O84" s="1274"/>
    </row>
    <row r="85" spans="15:15">
      <c r="O85" s="1274"/>
    </row>
    <row r="86" spans="15:15">
      <c r="O86" s="1274"/>
    </row>
  </sheetData>
  <mergeCells count="4">
    <mergeCell ref="A1:M1"/>
    <mergeCell ref="A2:M2"/>
    <mergeCell ref="A7:C7"/>
    <mergeCell ref="A32:C32"/>
  </mergeCells>
  <pageMargins left="0.7" right="0.7" top="0.75" bottom="0.75" header="0.3" footer="0.3"/>
  <pageSetup paperSize="5" scale="5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S18"/>
  <sheetViews>
    <sheetView view="pageBreakPreview" zoomScale="60" zoomScaleNormal="100" workbookViewId="0">
      <selection activeCell="F7" sqref="F7"/>
    </sheetView>
  </sheetViews>
  <sheetFormatPr defaultColWidth="8.77734375" defaultRowHeight="12.75"/>
  <cols>
    <col min="1" max="1" width="6" style="1266" customWidth="1"/>
    <col min="2" max="2" width="32.109375" style="1266" customWidth="1"/>
    <col min="3" max="5" width="10.77734375" style="1266" bestFit="1" customWidth="1"/>
    <col min="6" max="6" width="12.21875" style="1266" customWidth="1"/>
    <col min="7" max="7" width="10.77734375" style="1266" bestFit="1" customWidth="1"/>
    <col min="8" max="16384" width="8.77734375" style="1266"/>
  </cols>
  <sheetData>
    <row r="1" spans="1:19" ht="15">
      <c r="B1" s="1629" t="s">
        <v>831</v>
      </c>
      <c r="C1" s="1630"/>
      <c r="D1" s="1630"/>
      <c r="E1" s="1630"/>
      <c r="F1" s="1630"/>
      <c r="G1" s="1630"/>
      <c r="H1" s="1630"/>
      <c r="I1" s="1065"/>
      <c r="J1" s="1065"/>
      <c r="K1" s="1065"/>
      <c r="L1" s="1065"/>
      <c r="M1" s="1065"/>
      <c r="N1" s="1065"/>
      <c r="O1" s="1065"/>
      <c r="P1" s="1065"/>
      <c r="Q1" s="1065"/>
      <c r="R1" s="1065"/>
      <c r="S1" s="1065"/>
    </row>
    <row r="2" spans="1:19" ht="15.75">
      <c r="B2" s="1630" t="s">
        <v>491</v>
      </c>
      <c r="C2" s="1630"/>
      <c r="D2" s="1630"/>
      <c r="E2" s="1630"/>
      <c r="F2" s="1630"/>
      <c r="G2" s="1630"/>
      <c r="H2" s="1630"/>
      <c r="I2" s="1065"/>
      <c r="J2" s="1065"/>
      <c r="K2" s="1065"/>
      <c r="L2" s="1065"/>
      <c r="M2" s="1065"/>
      <c r="N2" s="1065"/>
      <c r="O2" s="1065"/>
      <c r="P2" s="1065"/>
      <c r="Q2" s="1065"/>
      <c r="R2" s="1065"/>
      <c r="S2" s="1065"/>
    </row>
    <row r="3" spans="1:19">
      <c r="F3" s="1496" t="s">
        <v>1080</v>
      </c>
      <c r="G3" s="1272"/>
    </row>
    <row r="4" spans="1:19" ht="15">
      <c r="B4" s="1301"/>
      <c r="F4" s="1481">
        <v>44195</v>
      </c>
      <c r="G4" s="1288"/>
    </row>
    <row r="5" spans="1:19" ht="15.75" thickBot="1">
      <c r="B5" s="1273" t="s">
        <v>832</v>
      </c>
      <c r="C5" s="1635"/>
      <c r="D5" s="1635"/>
      <c r="E5" s="1635"/>
      <c r="F5" s="1635"/>
      <c r="G5" s="1635"/>
    </row>
    <row r="6" spans="1:19" ht="30">
      <c r="A6" s="1266" t="s">
        <v>661</v>
      </c>
      <c r="B6" s="1273" t="s">
        <v>678</v>
      </c>
      <c r="C6" s="1312" t="s">
        <v>1088</v>
      </c>
      <c r="D6" s="1312" t="s">
        <v>1089</v>
      </c>
      <c r="E6" s="1312" t="s">
        <v>1090</v>
      </c>
      <c r="F6" s="1312" t="s">
        <v>1107</v>
      </c>
      <c r="G6" s="1299"/>
    </row>
    <row r="7" spans="1:19" ht="30">
      <c r="B7" s="1273"/>
      <c r="C7" s="1300" t="s">
        <v>679</v>
      </c>
      <c r="D7" s="1300" t="s">
        <v>679</v>
      </c>
      <c r="E7" s="1300" t="s">
        <v>679</v>
      </c>
      <c r="F7" s="1300" t="s">
        <v>679</v>
      </c>
      <c r="G7" s="1299" t="s">
        <v>21</v>
      </c>
    </row>
    <row r="8" spans="1:19" ht="23.25">
      <c r="B8" s="1273"/>
      <c r="C8" s="1273"/>
      <c r="D8" s="1298"/>
      <c r="E8" s="1273"/>
      <c r="F8" s="1273"/>
      <c r="G8" s="1273"/>
    </row>
    <row r="9" spans="1:19" ht="23.25">
      <c r="B9" s="1296"/>
      <c r="C9" s="1296"/>
      <c r="D9" s="1297"/>
      <c r="E9" s="1296"/>
      <c r="F9" s="1296"/>
      <c r="G9" s="1296"/>
    </row>
    <row r="10" spans="1:19" ht="16.5">
      <c r="A10" s="1266">
        <v>1</v>
      </c>
      <c r="B10" s="1295" t="s">
        <v>1096</v>
      </c>
      <c r="C10" s="1294">
        <v>1115.44</v>
      </c>
      <c r="D10" s="1294">
        <v>6892.19</v>
      </c>
      <c r="E10" s="1294">
        <v>0</v>
      </c>
      <c r="F10" s="1294">
        <v>0</v>
      </c>
      <c r="G10" s="1293">
        <f>SUM(C10:F10)</f>
        <v>8007.6299999999992</v>
      </c>
    </row>
    <row r="11" spans="1:19" ht="16.5">
      <c r="A11" s="1266">
        <v>2</v>
      </c>
      <c r="B11" s="1295" t="s">
        <v>1087</v>
      </c>
      <c r="C11" s="1294">
        <v>9998.39</v>
      </c>
      <c r="D11" s="1294">
        <v>0</v>
      </c>
      <c r="E11" s="1294">
        <f>510.45+58140.44+680.76</f>
        <v>59331.65</v>
      </c>
      <c r="F11" s="1294">
        <v>186.68</v>
      </c>
      <c r="G11" s="1293">
        <f>SUM(C11:F11)</f>
        <v>69516.72</v>
      </c>
    </row>
    <row r="12" spans="1:19" ht="16.5">
      <c r="A12" s="1266">
        <v>3</v>
      </c>
      <c r="B12" s="1295" t="s">
        <v>1099</v>
      </c>
      <c r="C12" s="1294"/>
      <c r="D12" s="1294"/>
      <c r="E12" s="1294">
        <v>8386.06</v>
      </c>
      <c r="F12" s="1294">
        <v>13.219999999999999</v>
      </c>
      <c r="G12" s="1293">
        <f>SUM(C12:F12)</f>
        <v>8399.2799999999988</v>
      </c>
    </row>
    <row r="13" spans="1:19" ht="16.5">
      <c r="A13" s="1266">
        <v>4</v>
      </c>
      <c r="B13" s="1295"/>
      <c r="C13" s="1294"/>
      <c r="D13" s="1294"/>
      <c r="E13" s="1294"/>
      <c r="F13" s="1294"/>
      <c r="G13" s="1293"/>
    </row>
    <row r="14" spans="1:19" ht="16.5">
      <c r="A14" s="1266">
        <v>5</v>
      </c>
      <c r="B14" s="1295"/>
      <c r="C14" s="1294"/>
      <c r="D14" s="1294"/>
      <c r="E14" s="1294"/>
      <c r="F14" s="1294"/>
      <c r="G14" s="1293"/>
    </row>
    <row r="15" spans="1:19" ht="16.5">
      <c r="A15" s="1266">
        <v>6</v>
      </c>
      <c r="B15" s="1295"/>
      <c r="C15" s="1294"/>
      <c r="D15" s="1294"/>
      <c r="E15" s="1294"/>
      <c r="F15" s="1294"/>
      <c r="G15" s="1293"/>
    </row>
    <row r="16" spans="1:19" ht="16.5">
      <c r="A16" s="1266">
        <v>7</v>
      </c>
      <c r="B16" s="1295"/>
      <c r="C16" s="1294"/>
      <c r="D16" s="1294"/>
      <c r="E16" s="1294"/>
      <c r="F16" s="1294"/>
      <c r="G16" s="1293"/>
    </row>
    <row r="17" spans="1:7" ht="15">
      <c r="B17" s="1273"/>
      <c r="C17" s="1292"/>
      <c r="D17" s="1292"/>
      <c r="E17" s="1292"/>
      <c r="F17" s="1292"/>
      <c r="G17" s="1292"/>
    </row>
    <row r="18" spans="1:7" ht="15">
      <c r="A18" s="1266">
        <v>8</v>
      </c>
      <c r="B18" s="1273" t="s">
        <v>21</v>
      </c>
      <c r="C18" s="1291">
        <f>SUM(C10:C16)</f>
        <v>11113.83</v>
      </c>
      <c r="D18" s="1291">
        <f>SUM(D10:D16)</f>
        <v>6892.19</v>
      </c>
      <c r="E18" s="1291">
        <f>SUM(E10:E16)</f>
        <v>67717.710000000006</v>
      </c>
      <c r="F18" s="1291">
        <f>SUM(F10:F16)</f>
        <v>199.9</v>
      </c>
      <c r="G18" s="1291">
        <f>SUM(G10:G16)</f>
        <v>85923.63</v>
      </c>
    </row>
  </sheetData>
  <mergeCells count="3">
    <mergeCell ref="B1:H1"/>
    <mergeCell ref="B2:H2"/>
    <mergeCell ref="C5:G5"/>
  </mergeCells>
  <printOptions horizontalCentered="1"/>
  <pageMargins left="0.5" right="0.5" top="1" bottom="0.5" header="0.5" footer="0.5"/>
  <pageSetup scale="78" fitToHeight="0" orientation="portrait" r:id="rId1"/>
  <headerFooter alignWithMargins="0"/>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Index</vt:lpstr>
      <vt:lpstr>Appendix III</vt:lpstr>
      <vt:lpstr>1 - Revenue Credits</vt:lpstr>
      <vt:lpstr>2 - Cost Support </vt:lpstr>
      <vt:lpstr>2a - Cost Support</vt:lpstr>
      <vt:lpstr>2b - Cost Support</vt:lpstr>
      <vt:lpstr>3 - Incentives</vt:lpstr>
      <vt:lpstr>4 - Cap Adds</vt:lpstr>
      <vt:lpstr>5-Construction Loan</vt:lpstr>
      <vt:lpstr>6a- ADIT</vt:lpstr>
      <vt:lpstr>6b- ADIT</vt:lpstr>
      <vt:lpstr>8 - Const Loan True-up</vt:lpstr>
      <vt:lpstr>7 - True-Up</vt:lpstr>
      <vt:lpstr>9- Depreciation Rates</vt:lpstr>
      <vt:lpstr>10 Lease O&amp;M, Other Tax and 413</vt:lpstr>
      <vt:lpstr>11 - Reg. Assets and Abnd Plnt</vt:lpstr>
      <vt:lpstr>12 - Unfunded Reserves</vt:lpstr>
      <vt:lpstr>13 - CWIP</vt:lpstr>
      <vt:lpstr>14 - Future Use</vt:lpstr>
      <vt:lpstr>WP1 - O&amp;M detail</vt:lpstr>
      <vt:lpstr>WP2 - A&amp;G detail</vt:lpstr>
      <vt:lpstr>WP3 - Cap Ex</vt:lpstr>
      <vt:lpstr>WP4 - Affiliate Allocations</vt:lpstr>
      <vt:lpstr>'Appendix III'!_ftn1</vt:lpstr>
      <vt:lpstr>'Appendix III'!_ftnref1</vt:lpstr>
      <vt:lpstr>'1 - Revenue Credits'!Print_Area</vt:lpstr>
      <vt:lpstr>'10 Lease O&amp;M, Other Tax and 413'!Print_Area</vt:lpstr>
      <vt:lpstr>'2 - Cost Support '!Print_Area</vt:lpstr>
      <vt:lpstr>'2a - Cost Support'!Print_Area</vt:lpstr>
      <vt:lpstr>'3 - Incentives'!Print_Area</vt:lpstr>
      <vt:lpstr>'4 - Cap Adds'!Print_Area</vt:lpstr>
      <vt:lpstr>'5-Construction Loan'!Print_Area</vt:lpstr>
      <vt:lpstr>'6a- ADIT'!Print_Area</vt:lpstr>
      <vt:lpstr>'6b- ADIT'!Print_Area</vt:lpstr>
      <vt:lpstr>'7 - True-Up'!Print_Area</vt:lpstr>
      <vt:lpstr>'8 - Const Loan True-up'!Print_Area</vt:lpstr>
      <vt:lpstr>'9- Depreciation Rates'!Print_Area</vt:lpstr>
      <vt:lpstr>'Appendix III'!Print_Area</vt:lpstr>
      <vt:lpstr>'WP1 - O&amp;M detail'!Print_Area</vt:lpstr>
      <vt:lpstr>'11 - Reg. Assets and Abnd Plnt'!Print_Titles</vt:lpstr>
      <vt:lpstr>'12 - Unfunded Reserves'!Print_Titles</vt:lpstr>
      <vt:lpstr>'13 - CWIP'!Print_Titles</vt:lpstr>
      <vt:lpstr>'14 - Future Use'!Print_Titles</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1970-01-01T00:00:00Z</cp:lastPrinted>
  <dcterms:created xsi:type="dcterms:W3CDTF">1970-01-01T00:00:00Z</dcterms:created>
  <dcterms:modified xsi:type="dcterms:W3CDTF">2021-06-28T14:35:43Z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